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s" sheetId="1" r:id="rId3"/>
    <sheet state="visible" name="Winners" sheetId="2" r:id="rId4"/>
    <sheet state="visible" name="Runner-Ups" sheetId="3" r:id="rId5"/>
    <sheet state="visible" name="Jury" sheetId="4" r:id="rId6"/>
    <sheet state="visible" name="Pre-Jury" sheetId="5" r:id="rId7"/>
    <sheet state="visible" name="Returnee Leaders" sheetId="6" r:id="rId8"/>
    <sheet state="visible" name="Zero Confessionals" sheetId="7" r:id="rId9"/>
    <sheet state="visible" name="Breakdown Per Season" sheetId="8" r:id="rId10"/>
    <sheet state="visible" name="Ep. Titles" sheetId="9" r:id="rId11"/>
    <sheet state="visible" name="Pending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">
      <text>
        <t xml:space="preserve">Tribal Council appearances where a vote took place and somebody got voted out. Final Tribal Council included for finalists as well. Tribal Council where someone quits are not included.</t>
      </text>
    </comment>
    <comment authorId="0" ref="P2">
      <text>
        <t xml:space="preserve">Number of times sent to Exile Island, if any.</t>
      </text>
    </comment>
    <comment authorId="0" ref="Q2">
      <text>
        <t xml:space="preserve">Number of times sent to Redemption Island, if any.</t>
      </text>
    </comment>
    <comment authorId="0" ref="S2">
      <text>
        <t xml:space="preserve">Number of times a Hidden Immunity Idol was found and/or handed over. Basically, having possession of it. HII handed over at TC are not included.</t>
      </text>
    </comment>
    <comment authorId="0" ref="T2">
      <text>
        <t xml:space="preserve">Any type of advantage won in the game besides a HII.</t>
      </text>
    </comment>
    <comment authorId="0" ref="L3">
      <text>
        <t xml:space="preserve">The numbers include receiving reward or going on a reward. If reward was given away, the person who gave it is not included. Also included: anything received at an auction and the merge feast. Not included: sitting out of an IC to eat or accepting a temptation during it.</t>
      </text>
    </comment>
    <comment authorId="0" ref="C12">
      <text>
        <t xml:space="preserve">Sucks count for Coach is 77 due to 1 on-the-fly confessional not counted.</t>
      </text>
    </comment>
    <comment authorId="0" ref="C16">
      <text>
        <t xml:space="preserve">+1 count difference for including various on-the-fly segments.</t>
      </text>
    </comment>
    <comment authorId="0" ref="T16">
      <text>
        <t xml:space="preserve">Ep. 10: Tony won 2 Fire Tokens for winning the Immunity Challenge.
Ep. 11: Tony paid 6 Fire Tokens to have the Extortion Advantage removed from him.
Tony won 2 Fire Tokens for winning the Immunity Challenge.
Ep. 12: Received 2 Fire Tokens for winning the IC.</t>
      </text>
    </comment>
    <comment authorId="0" ref="T23">
      <text>
        <t xml:space="preserve">Legacy Advantage willed by Morgan after being voted out.
Fake Immunity Idol that David made in S33.</t>
      </text>
    </comment>
    <comment authorId="0" ref="C28">
      <text>
        <t xml:space="preserve">Sucks count for Malcolm is 65 due to eliminating an on-the-fly confessional.</t>
      </text>
    </comment>
    <comment authorId="0" ref="C35">
      <text>
        <t xml:space="preserve">Sucks count for Cochran is 60 due to 1 Redemption Island confessional not counted.</t>
      </text>
    </comment>
    <comment authorId="0" ref="O40">
      <text>
        <t xml:space="preserve">One impromptu Tribal Council.</t>
      </text>
    </comment>
    <comment authorId="0" ref="S64">
      <text>
        <t xml:space="preserve">Given to Chrissy on the first episode by Ryan.</t>
      </text>
    </comment>
    <comment authorId="0" ref="T64">
      <text>
        <t xml:space="preserve">Decides who goes to Final 3 with them.</t>
      </text>
    </comment>
    <comment authorId="0" ref="O67">
      <text>
        <t xml:space="preserve">One impromptu Tribal Council.</t>
      </text>
    </comment>
    <comment authorId="0" ref="C77">
      <text>
        <t xml:space="preserve">Sucks count for Ozzy is 47 due to 1 Redemption Island confessional not counted.</t>
      </text>
    </comment>
    <comment authorId="0" ref="S84">
      <text>
        <t xml:space="preserve">Immunity Idol by way of Legacy Advantage.</t>
      </text>
    </comment>
    <comment authorId="0" ref="T84">
      <text>
        <t xml:space="preserve">Steal-a-Vote Advantage plus Legacy Advantage that was willed by Sierra after being voted out.</t>
      </text>
    </comment>
    <comment authorId="0" ref="T96">
      <text>
        <t xml:space="preserve">Given secretly by Jessica which blocked Devon's vote at Tribal Council.</t>
      </text>
    </comment>
    <comment authorId="0" ref="T97">
      <text>
        <t xml:space="preserve">Steal a vote advantage.</t>
      </text>
    </comment>
    <comment authorId="0" ref="T101">
      <text>
        <t xml:space="preserve">Advantage bought at Auction. It granted an advantage in the upcoming Immunity Challenge.</t>
      </text>
    </comment>
    <comment authorId="0" ref="C108">
      <text>
        <t xml:space="preserve">-1 count difference for including on-the-fly segment while Sarah paints her wardrobe.</t>
      </text>
    </comment>
    <comment authorId="0" ref="S108">
      <text>
        <t xml:space="preserve">Ep. 5: Sophie found an idol that 1/2 of it needed to be given to another player. Sarah received that half. Sarah later returned the half to Sophie.</t>
      </text>
    </comment>
    <comment authorId="0" ref="T108">
      <text>
        <t xml:space="preserve">Ep.3: Sarah buys a Steal a Vote advantage from Natalie for 1 Fire Token.
Ep. 8:  Sarah received 1 Fire Token bequeathed to her by Yul.
Ep. 12: Sarah received 1 Fire Token bequeathed to her by Sophie.
Ep. 13:  Sarah received 1 Fire Token bequeathed to her by Kim.</t>
      </text>
    </comment>
    <comment authorId="0" ref="O110">
      <text>
        <t xml:space="preserve">One impromptu Tribal Council.</t>
      </text>
    </comment>
    <comment authorId="0" ref="T111">
      <text>
        <t xml:space="preserve">Cirie held unto Sarah's advantage (vote steal).</t>
      </text>
    </comment>
    <comment authorId="0" ref="T112">
      <text>
        <t xml:space="preserve">IC advantage.</t>
      </text>
    </comment>
    <comment authorId="0" ref="S118">
      <text>
        <t xml:space="preserve">Ep. 8: Natalie buys 1 HII with her Fire Token before the EoE merge challenge.
Ep. 15: Natalie found a HII.</t>
      </text>
    </comment>
    <comment authorId="0" ref="T118">
      <text>
        <t xml:space="preserve">Ep. 1: Natalie finds a Hidden Immunity Idol and sells it to Sandra for 1 Fire Token.
Ep. 2: Natalie finds a Safety Without Power advantage and sells it to Jeremy for 1 Fire Token.
Ep. 3: Natalie finds a Steal a Vote advantage and sells it to Sarah for 1 Fire Token.
Ep. 4: Natalie wins a Fire Token after finishing a log carrying challenge first.
Ep. 11: Natalie received 6 Fire Tokens from Tony from the Extortion Advantage.
Ep. 12: Won 2 Fire Tokens for finishing in the Top 6 in an EoE challenge.
Ep. 14: Natalie received 8 Fire Tokens from Nick from the Disadvantage Advantage.</t>
      </text>
    </comment>
    <comment authorId="0" ref="T126">
      <text>
        <t xml:space="preserve">Ep. 7: Michele received 3 Fire Tokens bequeathed to her by Parvati.
Ep. 9: Michele received 1 Fire Token bequeathed to her by Wendell. Michele bought the 50/50 Coin Advantage from Parvati for 4 Fire Tokens.
Ep. 13: Michele received 2 Fire Tokens bequeathed to her by Jeremy.
Ep. 14: Michele won 2 Fire Tokens for winning immunity.</t>
      </text>
    </comment>
    <comment authorId="0" ref="C127">
      <text>
        <t xml:space="preserve">+1 difference from EoE confessional compared to Sucks.</t>
      </text>
    </comment>
    <comment authorId="0" ref="S127">
      <text>
        <t xml:space="preserve">Ep. 2: Denise found an idol that 1/2 of it needed to be given to another player. Adam received that half. Adam later returned the half to Denise.</t>
      </text>
    </comment>
    <comment authorId="0" ref="C136">
      <text>
        <t xml:space="preserve">Sucks count for Hayden is 34 due to 1 Redemption Island confessional not counted.</t>
      </text>
    </comment>
    <comment authorId="0" ref="C139">
      <text>
        <t xml:space="preserve">Sucks count for Vytas is 34 due to 1 Redemption Island confessional not counted.</t>
      </text>
    </comment>
    <comment authorId="0" ref="T147">
      <text>
        <t xml:space="preserve">Extra vote.</t>
      </text>
    </comment>
    <comment authorId="0" ref="T159">
      <text>
        <t xml:space="preserve">Ep. 1: Jeremy received 1 Fire Token bequeathed to him by Natalie.
Ep.2: Jeremy buys a Safety Without Power advantage from Natalie for 1 Fire Token.
Ep. 8: For winning the Immunity Challenge, 1 Fire Token was awarded.</t>
      </text>
    </comment>
    <comment authorId="0" ref="C162">
      <text>
        <t xml:space="preserve">Sucks count for Matt is 30 due to 2 Redemption Island confessionals not counted.</t>
      </text>
    </comment>
    <comment authorId="0" ref="C163">
      <text>
        <t xml:space="preserve">Sucks count for Holly is 33 due to eliminating an on-the-fly segment from confessional #13 on Ep2.</t>
      </text>
    </comment>
    <comment authorId="0" ref="C173">
      <text>
        <t xml:space="preserve">Sucks count for Brandon is 30 due to 1 Redemption Island confessional not counted.</t>
      </text>
    </comment>
    <comment authorId="0" ref="C180">
      <text>
        <t xml:space="preserve">Sucks count for Abi-Maria is 31 due to eliminating an on-the-fly segment of a confessional which yielded one more count.</t>
      </text>
    </comment>
    <comment authorId="0" ref="N187">
      <text>
        <t xml:space="preserve">Immunity (missed Tribal Council) because Casaya selected her to go to Exile Island after they've won a Reward/Immunity Challenge.</t>
      </text>
    </comment>
    <comment authorId="0" ref="C189">
      <text>
        <t xml:space="preserve">+1 difference from EoE confessional compared to Sucks.</t>
      </text>
    </comment>
    <comment authorId="0" ref="S189">
      <text>
        <t xml:space="preserve">Ep. 14: Natalie bought a HII for Tyson.</t>
      </text>
    </comment>
    <comment authorId="0" ref="T189">
      <text>
        <t xml:space="preserve">Ep. 6: Tyson finds an Idol Nullifier advantage and sells it to Parvati for 1 Fire Token.
Ep. 7: Found 1 Fire Token on EoE.
Ep. 12: Won 2 Fire Tokens for finishing in the Top 6 in an EoE challenge.</t>
      </text>
    </comment>
    <comment authorId="0" ref="S190">
      <text>
        <t xml:space="preserve">Ep. 8: Rob buys 1 HII with his Fire Token before the EoE merge challenge.</t>
      </text>
    </comment>
    <comment authorId="0" ref="T190">
      <text>
        <t xml:space="preserve">Ep. 2: Rob received 1 Fire Token bequeathed to him by Amber.
Ep. 7: Found 3 Fire Tokens on EoE.</t>
      </text>
    </comment>
    <comment authorId="0" ref="C192">
      <text>
        <t xml:space="preserve">Sucks count for Tasha is 27 due to 1 'on the fly' confessional not counted.</t>
      </text>
    </comment>
    <comment authorId="0" ref="C199">
      <text>
        <t xml:space="preserve">+1 difference from EoE confessional compared to Sucks.</t>
      </text>
    </comment>
    <comment authorId="0" ref="T199">
      <text>
        <t xml:space="preserve">Ep. 5: Nick received 1 Fire Token bequeathed to her by Tyson.
Ep. 9: Nick received 1 Fire Token bequeathed to him by Wendell.
Ep. 13: Nick won 2 Fire Tokens for winning Immunity.
Ep. 13: Nick received an advantage from Natalie from EoE.</t>
      </text>
    </comment>
    <comment authorId="0" ref="N201">
      <text>
        <t xml:space="preserve">One of Ken's individual immunities is due to the Legacy Advantage.</t>
      </text>
    </comment>
    <comment authorId="0" ref="C215">
      <text>
        <t xml:space="preserve">+1 difference from confessional when she gets Idol Nullifier advantage compared to Sucks.</t>
      </text>
    </comment>
    <comment authorId="0" ref="T215">
      <text>
        <t xml:space="preserve">Ep. 4: Parvati received 1 Fire Token bequeathed to her by Ethan.
Ep. 6: Parvati buys an Idol Nullifier advantage from Tyson for 1 Fire Token.
Ep. 9: Parvati finds a 50/50 Coin Advantage that she sells to Michele for 4 Fire Tokens.
Ep. 12: Won 2 Fire Tokens for finishing in the Top 6 in an EoE challenge.</t>
      </text>
    </comment>
    <comment authorId="0" ref="C216">
      <text>
        <t xml:space="preserve">Sucks count for Tina is 24 due to 1 Redemption Island confessional not counted.</t>
      </text>
    </comment>
    <comment authorId="0" ref="C226">
      <text>
        <t xml:space="preserve">Sucks count for Jim is 24 due to 1 Redemption Island confessional not counted.</t>
      </text>
    </comment>
    <comment authorId="0" ref="C228">
      <text>
        <t xml:space="preserve">Sucks count for Andrea is 23 due to 1 Redemption Island confessional not counted.</t>
      </text>
    </comment>
    <comment authorId="0" ref="C235">
      <text>
        <t xml:space="preserve">Sucks count for Dawn is 22 due to 1 Redemption Island confessional not counted.</t>
      </text>
    </comment>
    <comment authorId="0" ref="C252">
      <text>
        <t xml:space="preserve">+1 difference from EoE confessional compared to Sucks.</t>
      </text>
    </comment>
    <comment authorId="0" ref="C253">
      <text>
        <t xml:space="preserve">Sucks count for Sierra is 20 due to 1 voice over not counted.</t>
      </text>
    </comment>
    <comment authorId="0" ref="C256">
      <text>
        <t xml:space="preserve">Sucks count for Katie is 20 due to 1 Redemption Island confessional not counted.</t>
      </text>
    </comment>
    <comment authorId="0" ref="N259">
      <text>
        <t xml:space="preserve">Immunity after not being selected on the schoolyard two-tribe-pick.</t>
      </text>
    </comment>
    <comment authorId="0" ref="C270">
      <text>
        <t xml:space="preserve">Sucks count for Laura M. is 18 due to 2 Redemption Island confessionals not counted.</t>
      </text>
    </comment>
    <comment authorId="0" ref="C272">
      <text>
        <t xml:space="preserve">Sucks count for Ralph is 19 due to 1 Redemption Island confessional not counted.</t>
      </text>
    </comment>
    <comment authorId="0" ref="C274">
      <text>
        <t xml:space="preserve">Sucks count for Aras is 19 due to 1 Redemption Island confessional not counted.</t>
      </text>
    </comment>
    <comment authorId="0" ref="C275">
      <text>
        <t xml:space="preserve">Sucks count for John is 19 due to 1 Redemption Island confessional not counted.</t>
      </text>
    </comment>
    <comment authorId="0" ref="T280">
      <text>
        <t xml:space="preserve">Ep. 3: Denise received 1 Fire Token bequeathed to her by Danni.
Ep. 8: For winning the Immunity Challenge, 1 Fire Token was awarded.
Ep. 10: Denise received 1 Fire Token bequeathed to her by Adam.
Ep. 12: Received 2 Fire Tokens for winning the IC.
Ep. 13:  Denise received 1 Fire Token bequeathed to her by Kim.</t>
      </text>
    </comment>
    <comment authorId="0" ref="C281">
      <text>
        <t xml:space="preserve">+1 difference from EoE confessional compared to Sucks.</t>
      </text>
    </comment>
    <comment authorId="0" ref="T281">
      <text>
        <t xml:space="preserve">Ep. 9: Kim won 1 Fire Token for winning the Immunity Challenge.
Ep. 12: Kim received 1 Fire Token bequeathed to her by Sophie.</t>
      </text>
    </comment>
    <comment authorId="0" ref="C282">
      <text>
        <t xml:space="preserve">+1 difference from EoE confessional compared to Sucks.</t>
      </text>
    </comment>
    <comment authorId="0" ref="S282">
      <text>
        <t xml:space="preserve">Ep. 2: Kim found an idol that 1/2 of it needed to be given to another player. Sophie received that half. Sophie later returned the half to Kim.</t>
      </text>
    </comment>
    <comment authorId="0" ref="T282">
      <text>
        <t xml:space="preserve">Ep. 8:  Sophie received 1 Fire Token bequeathed to her by Yul.
Ep. 12: Won 2 Fire Tokens for finishing in the Top 6 in an EoE challenge.</t>
      </text>
    </comment>
    <comment authorId="0" ref="C283">
      <text>
        <t xml:space="preserve">+1 difference from EoE confessional compared to Sucks.</t>
      </text>
    </comment>
    <comment authorId="0" ref="C293">
      <text>
        <t xml:space="preserve">Sucks count for Edna is 17 due to 1 Redemption Island confessional not counted.</t>
      </text>
    </comment>
    <comment authorId="0" ref="C295">
      <text>
        <t xml:space="preserve">Sucks count for David is 17 due to 1 Redemption Island confessional not counted.</t>
      </text>
    </comment>
    <comment authorId="0" ref="T300">
      <text>
        <t xml:space="preserve">Found in food reward (vote blocker). Given to Devon.</t>
      </text>
    </comment>
    <comment authorId="0" ref="C303">
      <text>
        <t xml:space="preserve">+1 difference from EoE confessional compared to Sucks.</t>
      </text>
    </comment>
    <comment authorId="0" ref="T303">
      <text>
        <t xml:space="preserve">Ep. 7: Yul received 1 Fire Token bequeathed to him by Sandra.
Ep. 12: Won 2 Fire Tokens for finishing in the Top 6 in an EoE challenge.</t>
      </text>
    </comment>
    <comment authorId="0" ref="C306">
      <text>
        <t xml:space="preserve">Sucks count for Julie is 16 due to 1 Redemption Island confessional not counted.</t>
      </text>
    </comment>
    <comment authorId="0" ref="C308">
      <text>
        <t xml:space="preserve">Sucks count for Laura B. is 16 due to 1 Redemption Island confessional not counted.</t>
      </text>
    </comment>
    <comment authorId="0" ref="C313">
      <text>
        <t xml:space="preserve">Sucks count for Caleb is 15 due to 1 Redemption Island confessional not counted.</t>
      </text>
    </comment>
    <comment authorId="0" ref="P314">
      <text>
        <t xml:space="preserve">In the odd number tribe switch, Julia picked the sole To Tang buff and was sent there alone. She would be immune and join the tribe who lost a member after their Tribal Council.</t>
      </text>
    </comment>
    <comment authorId="0" ref="J317">
      <text>
        <t xml:space="preserve">Voted out of jury due to game twist advantage. Did not participate in FTC.</t>
      </text>
    </comment>
    <comment authorId="0" ref="C320">
      <text>
        <t xml:space="preserve">Sucks count for Russell is 15 due to 1 Redemption Island confessional not counted.</t>
      </text>
    </comment>
    <comment authorId="0" ref="C322">
      <text>
        <t xml:space="preserve">-1 count difference for including on-the-fly segment when she gets HII from Natalie.</t>
      </text>
    </comment>
    <comment authorId="0" ref="S322">
      <text>
        <t xml:space="preserve">Ep.1: Sandra buys a Hidden Immunity Idol from Natalie for 1 Fire Token.</t>
      </text>
    </comment>
    <comment authorId="0" ref="C323">
      <text>
        <t xml:space="preserve">Sucks count for Grant is 14 due to 1 Redemption Island confessional not counted.</t>
      </text>
    </comment>
    <comment authorId="0" ref="C331">
      <text>
        <t xml:space="preserve">Sucks count for Stephanie is 14 due to 1 Redemption Island confessional not counted.</t>
      </text>
    </comment>
    <comment authorId="0" ref="T335">
      <text>
        <t xml:space="preserve">Legacy Advantage found on Ghost Island and willed to Morgan.</t>
      </text>
    </comment>
    <comment authorId="0" ref="C336">
      <text>
        <t xml:space="preserve">+1 difference from EoE confessional compared to Sucks.</t>
      </text>
    </comment>
    <comment authorId="0" ref="N347">
      <text>
        <t xml:space="preserve">Awarded by Koror majority vote at Double Tribal Council.</t>
      </text>
    </comment>
    <comment authorId="0" ref="C350">
      <text>
        <t xml:space="preserve">+1 difference from EoE confessional compared to Sucks.</t>
      </text>
    </comment>
    <comment authorId="0" ref="T350">
      <text>
        <t xml:space="preserve">Ep. 7: Wendell received 1 Fire Token bequeathed to him by Michele.
Ep. 12: Won 2 Fire Tokens for finishing in the Top 6 in an EoE challenge.</t>
      </text>
    </comment>
    <comment authorId="0" ref="C356">
      <text>
        <t xml:space="preserve">Sucks count for Christine is 12 due to 1 Redemption Island confessional not counted.</t>
      </text>
    </comment>
    <comment authorId="0" ref="C360">
      <text>
        <t xml:space="preserve">Sucks count for Kristina is 12 due to 1 Redemption Island confessional not counted.</t>
      </text>
    </comment>
    <comment authorId="0" ref="T363">
      <text>
        <t xml:space="preserve">Extra vote.</t>
      </text>
    </comment>
    <comment authorId="0" ref="C379">
      <text>
        <t xml:space="preserve">Sucks count for Francesca is 11 due to 1 Redemption Island confessional not counted.</t>
      </text>
    </comment>
    <comment authorId="0" ref="C384">
      <text>
        <t xml:space="preserve">Sucks count for Sarita is 10 due to 1 Redemption Island confessional not counted.</t>
      </text>
    </comment>
    <comment authorId="0" ref="C385">
      <text>
        <t xml:space="preserve">Sucks count for Kat is 10 due to 1 Redemption Island confessional not counted.</t>
      </text>
    </comment>
    <comment authorId="0" ref="C396">
      <text>
        <t xml:space="preserve">Sucks count for Mikayla is 9 due to 1 Redemption Island confessional not counted.</t>
      </text>
    </comment>
    <comment authorId="0" ref="C410">
      <text>
        <t xml:space="preserve">Sucks count for Stacey is 8 due to 1 Redemption Island confessional not counted.</t>
      </text>
    </comment>
    <comment authorId="0" ref="C426">
      <text>
        <t xml:space="preserve">Sucks count for Candice is 7 due to 1 Redemption Island confessional not counted.</t>
      </text>
    </comment>
    <comment authorId="0" ref="C433">
      <text>
        <t xml:space="preserve">Sucks count for Keith is 6 due to 1 Redemption Island confessional not counted.</t>
      </text>
    </comment>
    <comment authorId="0" ref="C457">
      <text>
        <t xml:space="preserve">Sucks count for Krista is 5 due to 1 Redemption Island confessional not counted.</t>
      </text>
    </comment>
    <comment authorId="0" ref="C464">
      <text>
        <t xml:space="preserve">Sucks count for Mark is 5 due to 1 Redemption Island confessional not counted.</t>
      </text>
    </comment>
    <comment authorId="0" ref="T470">
      <text>
        <t xml:space="preserve">Legacy Advantage willed to Morgan by Jacob, who in turn willed it to Domenick after being voted out.</t>
      </text>
    </comment>
    <comment authorId="0" ref="C477">
      <text>
        <t xml:space="preserve">Sucks count for Elyse is 4 due to 1 Redemption Island confessional not counted.</t>
      </text>
    </comment>
    <comment authorId="0" ref="C481">
      <text>
        <t xml:space="preserve">Sucks count for Marissa is 4 due to 1 Redemption Island confessional not counted.</t>
      </text>
    </comment>
    <comment authorId="0" ref="C483">
      <text>
        <t xml:space="preserve">Sucks count for Semhar is 4 due to 1 Redemption Island confessional not counted.</t>
      </text>
    </comment>
    <comment authorId="0" ref="C484">
      <text>
        <t xml:space="preserve">Sucks count for Rachel is 4 due to 1 Redemption Island confessional not counted.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">
      <text>
        <t xml:space="preserve">Tribal Council appearances where a vote took place and somebody got voted out. Final Tribal Council included for finalists as well. Tribal Council where someone quits are not included.</t>
      </text>
    </comment>
    <comment authorId="0" ref="P2">
      <text>
        <t xml:space="preserve">Number of times sent to Exile Island, if any.</t>
      </text>
    </comment>
    <comment authorId="0" ref="Q2">
      <text>
        <t xml:space="preserve">Number of times sent to Redemption Island, if any.</t>
      </text>
    </comment>
    <comment authorId="0" ref="S2">
      <text>
        <t xml:space="preserve">Number of times a Hidden Immunity Idol was found and/or handed over. Basically, having possession of it. HII handed over at TC are not included.</t>
      </text>
    </comment>
    <comment authorId="0" ref="T2">
      <text>
        <t xml:space="preserve">Any type of advantage won in the game besides a HII.</t>
      </text>
    </comment>
    <comment authorId="0" ref="L3">
      <text>
        <t xml:space="preserve">The numbers include receiving reward or going on a reward. If reward was given away, the person who gave it is not included. Also included: anything received at an auction and the merge feast. Not included: sitting out of an IC to eat or accepting a temptation during it.</t>
      </text>
    </comment>
    <comment authorId="0" ref="C8">
      <text>
        <t xml:space="preserve">+1 count difference for including various on-the-fly segments.</t>
      </text>
    </comment>
    <comment authorId="0" ref="T8">
      <text>
        <t xml:space="preserve">Ep. 10: Tony won 2 Fire Tokens for winning the Immunity Challenge.
Ep. 11: Tony paid 6 Fire Tokens to have the Extortion Advantage removed from him.
Tony won 2 Fire Tokens for winning the Immunity Challenge.
Ep. 12: Received 2 Fire Tokens for winning the IC.</t>
      </text>
    </comment>
    <comment authorId="0" ref="O15">
      <text>
        <t xml:space="preserve">One impromptu Tribal Council.</t>
      </text>
    </comment>
    <comment authorId="0" ref="S25">
      <text>
        <t xml:space="preserve">Immunity Idol by way of Legacy Advantage.</t>
      </text>
    </comment>
    <comment authorId="0" ref="T25">
      <text>
        <t xml:space="preserve">Steal-a-Vote Advantage plus Legacy Advantage that was willed by Sierra after being voted out.</t>
      </text>
    </comment>
    <comment authorId="0" ref="T28">
      <text>
        <t xml:space="preserve">Advantage bought at Auction. It granted an advantage in the upcoming Immunity Challenge.</t>
      </text>
    </comment>
    <comment authorId="0" ref="T29">
      <text>
        <t xml:space="preserve">IC advantage.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">
      <text>
        <t xml:space="preserve">Tribal Council appearances where a vote took place and somebody got voted out. Final Tribal Council included for finalists as well. Tribal Council where someone quits are not included.</t>
      </text>
    </comment>
    <comment authorId="0" ref="P2">
      <text>
        <t xml:space="preserve">Number of times sent to Exile Island, if any.</t>
      </text>
    </comment>
    <comment authorId="0" ref="Q2">
      <text>
        <t xml:space="preserve">Number of times sent to Redemption Island, if any.</t>
      </text>
    </comment>
    <comment authorId="0" ref="S2">
      <text>
        <t xml:space="preserve">Number of times a Hidden Immunity Idol was found and/or handed over. Basically, having possession of it. HII handed over at TC are not included.</t>
      </text>
    </comment>
    <comment authorId="0" ref="T2">
      <text>
        <t xml:space="preserve">Any type of advantage won in the game besides a HII.</t>
      </text>
    </comment>
    <comment authorId="0" ref="L3">
      <text>
        <t xml:space="preserve">The numbers include receiving reward or going on a reward. If reward was given away, the person who gave it is not included. Also included: anything received at an auction and the merge feast. Not included: sitting out of an IC to eat or accepting a temptation during it.</t>
      </text>
    </comment>
    <comment authorId="0" ref="C6">
      <text>
        <t xml:space="preserve">Sucks count for Coach is 77 due to 1 on-the-fly confessional not counted.</t>
      </text>
    </comment>
    <comment authorId="0" ref="T11">
      <text>
        <t xml:space="preserve">Legacy Advantage willed by Morgan after being voted out.
Fake Immunity Idol that David made in S33.</t>
      </text>
    </comment>
    <comment authorId="0" ref="S17">
      <text>
        <t xml:space="preserve">Given to Chrissy on the first episode by Ryan.</t>
      </text>
    </comment>
    <comment authorId="0" ref="T17">
      <text>
        <t xml:space="preserve">Decides who goes to Final 3 with them.</t>
      </text>
    </comment>
    <comment authorId="0" ref="O25">
      <text>
        <t xml:space="preserve">One impromptu Tribal Council.</t>
      </text>
    </comment>
    <comment authorId="0" ref="S29">
      <text>
        <t xml:space="preserve">Ep. 8: Natalie buys 1 HII with her Fire Token before the EoE merge challenge.
Ep. 15: Natalie found a HII.</t>
      </text>
    </comment>
    <comment authorId="0" ref="T29">
      <text>
        <t xml:space="preserve">Ep. 1: Natalie finds a Hidden Immunity Idol and sells it to Sandra for 1 Fire Token.
Ep. 2: Natalie finds a Safety Without Power advantage and sells it to Jeremy for 1 Fire Token.
Ep. 3: Natalie finds a Steal a Vote advantage and sells it to Sarah for 1 Fire Token.
Ep. 4: Natalie wins a Fire Token after finishing a log carrying challenge first.
Ep. 11: Natalie received 6 Fire Tokens from Tony from the Extortion Advantage.
Ep. 12: Won 2 Fire Tokens for finishing in the Top 6 in an EoE challenge.
Ep. 14: Natalie received 8 Fire Tokens from Nick from the Disadvantage Advantage.</t>
      </text>
    </comment>
    <comment authorId="0" ref="T30">
      <text>
        <t xml:space="preserve">Ep. 7: Michele received 3 Fire Tokens bequeathed to her by Parvati.
Ep. 9: Michele received 1 Fire Token bequeathed to her by Wendell. Michele bought the 50/50 Coin Advantage from Parvati for 4 Fire Tokens.
Ep. 13: Michele received 2 Fire Tokens bequeathed to her by Jeremy.
Ep. 14: Michele won 2 Fire Tokens for winning immunity.</t>
      </text>
    </comment>
    <comment authorId="0" ref="N41">
      <text>
        <t xml:space="preserve">One of Ken's individual immunities is due to the Legacy Advantage.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">
      <text>
        <t xml:space="preserve">Tribal Council appearances where a vote took place and somebody got voted out. Final Tribal Council included for finalists as well. Tribal Council where someone quits are not included.</t>
      </text>
    </comment>
    <comment authorId="0" ref="P2">
      <text>
        <t xml:space="preserve">Number of times sent to Exile Island, if any.</t>
      </text>
    </comment>
    <comment authorId="0" ref="Q2">
      <text>
        <t xml:space="preserve">Number of times sent to Redemption Island, if any.</t>
      </text>
    </comment>
    <comment authorId="0" ref="S2">
      <text>
        <t xml:space="preserve">Number of times a Hidden Immunity Idol was found and/or handed over. Basically, having possession of it. HII handed over at TC are not included.</t>
      </text>
    </comment>
    <comment authorId="0" ref="T2">
      <text>
        <t xml:space="preserve">Any type of advantage won in the game besides a HII.</t>
      </text>
    </comment>
    <comment authorId="0" ref="L3">
      <text>
        <t xml:space="preserve">The numbers include receiving reward or going on a reward. If reward was given away, the person who gave it is not included. Also included: anything received at an auction and the merge feast. Not included: sitting out of an IC to eat or accepting a temptation during it.</t>
      </text>
    </comment>
    <comment authorId="0" ref="C10">
      <text>
        <t xml:space="preserve">Sucks count for Malcolm is 65 due to eliminating an on-the-fly confessional.</t>
      </text>
    </comment>
    <comment authorId="0" ref="C16">
      <text>
        <t xml:space="preserve">Sucks count for Cochran is 60 due to 1 Redemption Island confessional not counted.</t>
      </text>
    </comment>
    <comment authorId="0" ref="O36">
      <text>
        <t xml:space="preserve">One impromptu Tribal Council.</t>
      </text>
    </comment>
    <comment authorId="0" ref="C40">
      <text>
        <t xml:space="preserve">Sucks count for Ozzy is 47 due to 1 Redemption Island confessional not counted.</t>
      </text>
    </comment>
    <comment authorId="0" ref="T54">
      <text>
        <t xml:space="preserve">Given secretly by Jessica which blocked Devon's vote at Tribal Council.</t>
      </text>
    </comment>
    <comment authorId="0" ref="T55">
      <text>
        <t xml:space="preserve">Steal a vote advantage.</t>
      </text>
    </comment>
    <comment authorId="0" ref="C61">
      <text>
        <t xml:space="preserve">-1 count difference for including on-the-fly segment while Sarah paints her wardrobe.</t>
      </text>
    </comment>
    <comment authorId="0" ref="S61">
      <text>
        <t xml:space="preserve">Ep. 5: Sophie found an idol that 1/2 of it needed to be given to another player. Sarah received that half. Sarah later returned the half to Sophie.</t>
      </text>
    </comment>
    <comment authorId="0" ref="T61">
      <text>
        <t xml:space="preserve">Ep.3: Sarah buys a Steal a Vote advantage from Natalie for 1 Fire Token.
Ep. 8:  Sarah received 1 Fire Token bequeathed to her by Yul.
Ep. 12: Sarah received 1 Fire Token bequeathed to her by Sophie.
Ep. 13:  Sarah received 1 Fire Token bequeathed to her by Kim.</t>
      </text>
    </comment>
    <comment authorId="0" ref="T62">
      <text>
        <t xml:space="preserve">Cirie held unto Sarah's advantage (vote steal).</t>
      </text>
    </comment>
    <comment authorId="0" ref="C70">
      <text>
        <t xml:space="preserve">+1 difference from EoE confessional compared to Sucks.</t>
      </text>
    </comment>
    <comment authorId="0" ref="S70">
      <text>
        <t xml:space="preserve">Ep. 2: Denise found an idol that 1/2 of it needed to be given to another player. Adam received that half. Adam later returned the half to Denise.</t>
      </text>
    </comment>
    <comment authorId="0" ref="C76">
      <text>
        <t xml:space="preserve">Sucks count for Vytas is 34 due to 1 Redemption Island confessional not counted.</t>
      </text>
    </comment>
    <comment authorId="0" ref="C80">
      <text>
        <t xml:space="preserve">Sucks count for Hayden is 34 due to 1 Redemption Island confessional not counted.</t>
      </text>
    </comment>
    <comment authorId="0" ref="T83">
      <text>
        <t xml:space="preserve">Extra vote.</t>
      </text>
    </comment>
    <comment authorId="0" ref="T92">
      <text>
        <t xml:space="preserve">Ep. 1: Jeremy received 1 Fire Token bequeathed to him by Natalie.
Ep.2: Jeremy buys a Safety Without Power advantage from Natalie for 1 Fire Token.
Ep. 8: For winning the Immunity Challenge, 1 Fire Token was awarded.</t>
      </text>
    </comment>
    <comment authorId="0" ref="C94">
      <text>
        <t xml:space="preserve">Sucks count for Matt is 30 due to 2 Redemption Island confessionals not counted.</t>
      </text>
    </comment>
    <comment authorId="0" ref="C95">
      <text>
        <t xml:space="preserve">Sucks count for Holly is 33 due to eliminating an on-the-fly segment from confessional #13 on Ep2.</t>
      </text>
    </comment>
    <comment authorId="0" ref="C104">
      <text>
        <t xml:space="preserve">Sucks count for Brandon is 30 due to 1 Redemption Island confessional not counted.</t>
      </text>
    </comment>
    <comment authorId="0" ref="C108">
      <text>
        <t xml:space="preserve">Sucks count for Abi-Maria is 31 due to eliminating an on-the-fly segment of a confessional which yielded one more count.</t>
      </text>
    </comment>
    <comment authorId="0" ref="N110">
      <text>
        <t xml:space="preserve">Immunity (missed Tribal Council) because Casaya selected her to go to Exile Island after they've won a Reward/Immunity Challenge.</t>
      </text>
    </comment>
    <comment authorId="0" ref="C113">
      <text>
        <t xml:space="preserve">+1 difference from EoE confessional compared to Sucks.</t>
      </text>
    </comment>
    <comment authorId="0" ref="S113">
      <text>
        <t xml:space="preserve">Ep. 14: Natalie bought a HII for Tyson.</t>
      </text>
    </comment>
    <comment authorId="0" ref="T113">
      <text>
        <t xml:space="preserve">Ep. 6: Tyson finds an Idol Nullifier advantage and sells it to Parvati for 1 Fire Token.
Ep. 7: Found 1 Fire Token on EoE.
Ep. 12: Won 2 Fire Tokens for finishing in the Top 6 in an EoE challenge.</t>
      </text>
    </comment>
    <comment authorId="0" ref="S114">
      <text>
        <t xml:space="preserve">Ep. 8: Rob buys 1 HII with his Fire Token before the EoE merge challenge.</t>
      </text>
    </comment>
    <comment authorId="0" ref="T114">
      <text>
        <t xml:space="preserve">Ep. 2: Rob received 1 Fire Token bequeathed to him by Amber.
Ep. 7: Found 3 Fire Tokens on EoE.</t>
      </text>
    </comment>
    <comment authorId="0" ref="C115">
      <text>
        <t xml:space="preserve">Sucks count for Tasha is 27 due to 1 'on the fly' confessional not counted.</t>
      </text>
    </comment>
    <comment authorId="0" ref="C122">
      <text>
        <t xml:space="preserve">+1 difference from EoE confessional compared to Sucks.</t>
      </text>
    </comment>
    <comment authorId="0" ref="T122">
      <text>
        <t xml:space="preserve">Ep. 5: Nick received 1 Fire Token bequeathed to her by Tyson.
Ep. 9: Nick received 1 Fire Token bequeathed to him by Wendell.
Ep. 13: Nick won 2 Fire Tokens for winning Immunity.
Ep. 13: Nick received an advantage from Natalie from EoE.</t>
      </text>
    </comment>
    <comment authorId="0" ref="C134">
      <text>
        <t xml:space="preserve">+1 difference from confessional when she gets Idol Nullifier advantage compared to Sucks.</t>
      </text>
    </comment>
    <comment authorId="0" ref="T134">
      <text>
        <t xml:space="preserve">Ep. 4: Parvati received 1 Fire Token bequeathed to her by Ethan.
Ep. 6: Parvati buys an Idol Nullifier advantage from Tyson for 1 Fire Token.
Ep. 9: Parvati finds a 50/50 Coin Advantage that she sells to Michele for 4 Fire Tokens.
Ep. 12: Won 2 Fire Tokens for finishing in the Top 6 in an EoE challenge.</t>
      </text>
    </comment>
    <comment authorId="0" ref="C136">
      <text>
        <t xml:space="preserve">Sucks count for Tina is 24 due to 1 Redemption Island confessional not counted.</t>
      </text>
    </comment>
    <comment authorId="0" ref="C139">
      <text>
        <t xml:space="preserve">Sucks count for Jim is 24 due to 1 Redemption Island confessional not counted.</t>
      </text>
    </comment>
    <comment authorId="0" ref="C145">
      <text>
        <t xml:space="preserve">Sucks count for Andrea is 23 due to 1 Redemption Island confessional not counted.</t>
      </text>
    </comment>
    <comment authorId="0" ref="C152">
      <text>
        <t xml:space="preserve">Sucks count for Dawn is 22 due to 1 Redemption Island confessional not counted.</t>
      </text>
    </comment>
    <comment authorId="0" ref="C162">
      <text>
        <t xml:space="preserve">+1 difference from EoE confessional compared to Sucks.</t>
      </text>
    </comment>
    <comment authorId="0" ref="C163">
      <text>
        <t xml:space="preserve">Sucks count for Sierra is 20 due to 1 voice over not counted.</t>
      </text>
    </comment>
    <comment authorId="0" ref="C168">
      <text>
        <t xml:space="preserve">Sucks count for Katie is 20 due to 1 Redemption Island confessional not counted.</t>
      </text>
    </comment>
    <comment authorId="0" ref="N170">
      <text>
        <t xml:space="preserve">Immunity after not being selected on the schoolyard two-tribe-pick.</t>
      </text>
    </comment>
    <comment authorId="0" ref="C172">
      <text>
        <t xml:space="preserve">Sucks count for Ralph is 19 due to 1 Redemption Island confessional not counted.</t>
      </text>
    </comment>
    <comment authorId="0" ref="C173">
      <text>
        <t xml:space="preserve">Sucks count for Laura M. is 18 due to 2 Redemption Island confessionals not counted.</t>
      </text>
    </comment>
    <comment authorId="0" ref="C176">
      <text>
        <t xml:space="preserve">Sucks count for Aras is 19 due to 1 Redemption Island confessional not counted.</t>
      </text>
    </comment>
    <comment authorId="0" ref="T177">
      <text>
        <t xml:space="preserve">Ep. 3: Denise received 1 Fire Token bequeathed to her by Danni.
Ep. 8: For winning the Immunity Challenge, 1 Fire Token was awarded.
Ep. 10: Denise received 1 Fire Token bequeathed to her by Adam.
Ep. 12: Received 2 Fire Tokens for winning the IC.
Ep. 13:  Denise received 1 Fire Token bequeathed to her by Kim.</t>
      </text>
    </comment>
    <comment authorId="0" ref="C178">
      <text>
        <t xml:space="preserve">+1 difference from EoE confessional compared to Sucks.</t>
      </text>
    </comment>
    <comment authorId="0" ref="T178">
      <text>
        <t xml:space="preserve">Ep. 9: Kim won 1 Fire Token for winning the Immunity Challenge.
Ep. 12: Kim received 1 Fire Token bequeathed to her by Sophie.</t>
      </text>
    </comment>
    <comment authorId="0" ref="C179">
      <text>
        <t xml:space="preserve">+1 difference from EoE confessional compared to Sucks.</t>
      </text>
    </comment>
    <comment authorId="0" ref="S179">
      <text>
        <t xml:space="preserve">Ep. 2: Kim found an idol that 1/2 of it needed to be given to another player. Sophie received that half. Sophie later returned the half to Kim.</t>
      </text>
    </comment>
    <comment authorId="0" ref="T179">
      <text>
        <t xml:space="preserve">Ep. 8:  Sophie received 1 Fire Token bequeathed to her by Yul.
Ep. 12: Won 2 Fire Tokens for finishing in the Top 6 in an EoE challenge.</t>
      </text>
    </comment>
    <comment authorId="0" ref="C180">
      <text>
        <t xml:space="preserve">+1 difference from EoE confessional compared to Sucks.</t>
      </text>
    </comment>
    <comment authorId="0" ref="C188">
      <text>
        <t xml:space="preserve">Sucks count for Edna is 17 due to 1 Redemption Island confessional not counted.</t>
      </text>
    </comment>
    <comment authorId="0" ref="C189">
      <text>
        <t xml:space="preserve">Sucks count for David is 17 due to 1 Redemption Island confessional not counted.</t>
      </text>
    </comment>
    <comment authorId="0" ref="C192">
      <text>
        <t xml:space="preserve">+1 difference from EoE confessional compared to Sucks.</t>
      </text>
    </comment>
    <comment authorId="0" ref="T192">
      <text>
        <t xml:space="preserve">Ep. 7: Yul received 1 Fire Token bequeathed to him by Sandra.
Ep. 12: Won 2 Fire Tokens for finishing in the Top 6 in an EoE challenge.</t>
      </text>
    </comment>
    <comment authorId="0" ref="C195">
      <text>
        <t xml:space="preserve">Sucks count for Julie is 16 due to 1 Redemption Island confessional not counted.</t>
      </text>
    </comment>
    <comment authorId="0" ref="J198">
      <text>
        <t xml:space="preserve">Voted out of jury due to game twist advantage. Did not participate in FTC.</t>
      </text>
    </comment>
    <comment authorId="0" ref="P199">
      <text>
        <t xml:space="preserve">In the odd number tribe switch, Julia picked the sole To Tang buff and was sent there alone. She would be immune and join the tribe who lost a member after their Tribal Council.</t>
      </text>
    </comment>
    <comment authorId="0" ref="C203">
      <text>
        <t xml:space="preserve">Sucks count for Caleb is 15 due to 1 Redemption Island confessional not counted.</t>
      </text>
    </comment>
    <comment authorId="0" ref="C208">
      <text>
        <t xml:space="preserve">Sucks count for Grant is 14 due to 1 Redemption Island confessional not counted.</t>
      </text>
    </comment>
    <comment authorId="0" ref="C213">
      <text>
        <t xml:space="preserve">+1 difference from EoE confessional compared to Sucks.</t>
      </text>
    </comment>
    <comment authorId="0" ref="C217">
      <text>
        <t xml:space="preserve">+1 difference from EoE confessional compared to Sucks.</t>
      </text>
    </comment>
    <comment authorId="0" ref="T217">
      <text>
        <t xml:space="preserve">Ep. 7: Wendell received 1 Fire Token bequeathed to him by Michele.
Ep. 12: Won 2 Fire Tokens for finishing in the Top 6 in an EoE challenge.</t>
      </text>
    </comment>
    <comment authorId="0" ref="T225">
      <text>
        <t xml:space="preserve">Extra vote.</t>
      </text>
    </comment>
    <comment authorId="0" ref="C237">
      <text>
        <t xml:space="preserve">Sucks count for Keith is 6 due to 1 Redemption Island confessional not counted.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">
      <text>
        <t xml:space="preserve">Tribal Council appearances where a vote took place and somebody got voted out. Final Tribal Council included for finalists as well. Tribal Council where someone quits are not included.</t>
      </text>
    </comment>
    <comment authorId="0" ref="P2">
      <text>
        <t xml:space="preserve">Number of times sent to Exile Island, if any.</t>
      </text>
    </comment>
    <comment authorId="0" ref="Q2">
      <text>
        <t xml:space="preserve">Number of times sent to Redemption Island, if any.</t>
      </text>
    </comment>
    <comment authorId="0" ref="S2">
      <text>
        <t xml:space="preserve">Number of times a Hidden Immunity Idol was found and/or handed over. Basically, having possession of it. HII handed over at TC are not included.</t>
      </text>
    </comment>
    <comment authorId="0" ref="T2">
      <text>
        <t xml:space="preserve">Any type of advantage won in the game besides a HII.</t>
      </text>
    </comment>
    <comment authorId="0" ref="L3">
      <text>
        <t xml:space="preserve">The numbers include receiving reward or going on a reward. If reward was given away, the person who gave it is not included. Also included: anything received at an auction and the merge feast. Not included: sitting out of an IC to eat or accepting a temptation during it.</t>
      </text>
    </comment>
    <comment authorId="0" ref="C33">
      <text>
        <t xml:space="preserve">Sucks count for John is 19 due to 1 Redemption Island confessional not counted.</t>
      </text>
    </comment>
    <comment authorId="0" ref="T42">
      <text>
        <t xml:space="preserve">Found in food reward (vote blocker). Given to Devon.</t>
      </text>
    </comment>
    <comment authorId="0" ref="C44">
      <text>
        <t xml:space="preserve">Sucks count for Laura B. is 16 due to 1 Redemption Island confessional not counted.</t>
      </text>
    </comment>
    <comment authorId="0" ref="C45">
      <text>
        <t xml:space="preserve">Sucks count for Russell is 15 due to 1 Redemption Island confessional not counted.</t>
      </text>
    </comment>
    <comment authorId="0" ref="C49">
      <text>
        <t xml:space="preserve">-1 count difference for including on-the-fly segment when she gets HII from Natalie.</t>
      </text>
    </comment>
    <comment authorId="0" ref="S49">
      <text>
        <t xml:space="preserve">Ep.1: Sandra buys a Hidden Immunity Idol from Natalie for 1 Fire Token.</t>
      </text>
    </comment>
    <comment authorId="0" ref="C50">
      <text>
        <t xml:space="preserve">Sucks count for Stephanie is 14 due to 1 Redemption Island confessional not counted.</t>
      </text>
    </comment>
    <comment authorId="0" ref="T54">
      <text>
        <t xml:space="preserve">Legacy Advantage found on Ghost Island and willed to Morgan.</t>
      </text>
    </comment>
    <comment authorId="0" ref="N60">
      <text>
        <t xml:space="preserve">Awarded by Koror majority vote at Double Tribal Council.</t>
      </text>
    </comment>
    <comment authorId="0" ref="C65">
      <text>
        <t xml:space="preserve">Sucks count for Kristina is 12 due to 1 Redemption Island confessional not counted.</t>
      </text>
    </comment>
    <comment authorId="0" ref="C69">
      <text>
        <t xml:space="preserve">Sucks count for Christine is 12 due to 1 Redemption Island confessional not counted.</t>
      </text>
    </comment>
    <comment authorId="0" ref="C82">
      <text>
        <t xml:space="preserve">Sucks count for Francesca is 11 due to 1 Redemption Island confessional not counted.</t>
      </text>
    </comment>
    <comment authorId="0" ref="C87">
      <text>
        <t xml:space="preserve">Sucks count for Sarita is 10 due to 1 Redemption Island confessional not counted.</t>
      </text>
    </comment>
    <comment authorId="0" ref="C89">
      <text>
        <t xml:space="preserve">Sucks count for Kat is 10 due to 1 Redemption Island confessional not counted.</t>
      </text>
    </comment>
    <comment authorId="0" ref="C97">
      <text>
        <t xml:space="preserve">Sucks count for Mikayla is 9 due to 1 Redemption Island confessional not counted.</t>
      </text>
    </comment>
    <comment authorId="0" ref="C110">
      <text>
        <t xml:space="preserve">Sucks count for Stacey is 8 due to 1 Redemption Island confessional not counted.</t>
      </text>
    </comment>
    <comment authorId="0" ref="C125">
      <text>
        <t xml:space="preserve">Sucks count for Candice is 7 due to 1 Redemption Island confessional not counted.</t>
      </text>
    </comment>
    <comment authorId="0" ref="C152">
      <text>
        <t xml:space="preserve">Sucks count for Mark is 5 due to 1 Redemption Island confessional not counted.</t>
      </text>
    </comment>
    <comment authorId="0" ref="C155">
      <text>
        <t xml:space="preserve">Sucks count for Krista is 5 due to 1 Redemption Island confessional not counted.</t>
      </text>
    </comment>
    <comment authorId="0" ref="T164">
      <text>
        <t xml:space="preserve">Legacy Advantage willed to Morgan by Jacob, who in turn willed it to Domenick after being voted out.</t>
      </text>
    </comment>
    <comment authorId="0" ref="C166">
      <text>
        <t xml:space="preserve">Sucks count for Semhar is 4 due to 1 Redemption Island confessional not counted.</t>
      </text>
    </comment>
    <comment authorId="0" ref="C167">
      <text>
        <t xml:space="preserve">Sucks count for Rachel is 4 due to 1 Redemption Island confessional not counted.</t>
      </text>
    </comment>
    <comment authorId="0" ref="C172">
      <text>
        <t xml:space="preserve">Sucks count for Marissa is 4 due to 1 Redemption Island confessional not counted.</t>
      </text>
    </comment>
    <comment authorId="0" ref="C174">
      <text>
        <t xml:space="preserve">Sucks count for Elyse is 4 due to 1 Redemption Island confessional not counted.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">
      <text>
        <t xml:space="preserve">Tribal Council appearances where a vote took place and somebody got voted out. Final Tribal Council included for finalists. Also, when someone quits, it is included, unless it was a formality like in Nicaragua.</t>
      </text>
    </comment>
    <comment authorId="0" ref="P2">
      <text>
        <t xml:space="preserve">Number of times sent to Exile Island, if any. Also applies to Ghost Island, Island of the Idols.</t>
      </text>
    </comment>
    <comment authorId="0" ref="Q2">
      <text>
        <t xml:space="preserve">Number of times sent to Redemption Island, if any.</t>
      </text>
    </comment>
    <comment authorId="0" ref="S2">
      <text>
        <t xml:space="preserve">Number of times a Hidden Immunity Idol was found and/or handed over. HII given at TC not included.</t>
      </text>
    </comment>
    <comment authorId="0" ref="T2">
      <text>
        <t xml:space="preserve">Any type of advantage won in the game besides a HII.</t>
      </text>
    </comment>
    <comment authorId="0" ref="L3">
      <text>
        <t xml:space="preserve">Merge feast included as Reward. The numbers include winning a reward or going on a reward. If reward was given away, it is not included.</t>
      </text>
    </comment>
    <comment authorId="0" ref="T183">
      <text>
        <t xml:space="preserve">Ep. 1: Ron found the Advantage Menu.</t>
      </text>
    </comment>
    <comment authorId="0" ref="P202">
      <text>
        <t xml:space="preserve">Ep. 1: Sent, by draw.</t>
      </text>
    </comment>
  </commentList>
</comments>
</file>

<file path=xl/sharedStrings.xml><?xml version="1.0" encoding="utf-8"?>
<sst xmlns="http://schemas.openxmlformats.org/spreadsheetml/2006/main" count="15095" uniqueCount="1235">
  <si>
    <t>Confessional Leaders (Seasons 1-12, 21-36)</t>
  </si>
  <si>
    <t>Castaway</t>
  </si>
  <si>
    <t>Season</t>
  </si>
  <si>
    <t>Count</t>
  </si>
  <si>
    <t>Episodes</t>
  </si>
  <si>
    <t>Average</t>
  </si>
  <si>
    <t>Percentage</t>
  </si>
  <si>
    <t>Days</t>
  </si>
  <si>
    <t>0 Conf.</t>
  </si>
  <si>
    <t>Merge</t>
  </si>
  <si>
    <t>Finish</t>
  </si>
  <si>
    <t>Placement #</t>
  </si>
  <si>
    <t>Challenges</t>
  </si>
  <si>
    <t>TC</t>
  </si>
  <si>
    <t>EI</t>
  </si>
  <si>
    <t>RI</t>
  </si>
  <si>
    <t>EoE</t>
  </si>
  <si>
    <t>HII</t>
  </si>
  <si>
    <t>Advantage</t>
  </si>
  <si>
    <t>Medevac/Quit</t>
  </si>
  <si>
    <t>Reward</t>
  </si>
  <si>
    <t>Tribe Immunity</t>
  </si>
  <si>
    <t>Indiv. Immunity</t>
  </si>
  <si>
    <t>-</t>
  </si>
  <si>
    <t>7th Juror</t>
  </si>
  <si>
    <t>3 of 16</t>
  </si>
  <si>
    <t>Runner-Up</t>
  </si>
  <si>
    <t>2 of 16</t>
  </si>
  <si>
    <t>Sole Survivor</t>
  </si>
  <si>
    <t>1 of 18</t>
  </si>
  <si>
    <t>1 of 16</t>
  </si>
  <si>
    <t>1st Runner-Up</t>
  </si>
  <si>
    <t>2 of 18</t>
  </si>
  <si>
    <t>2nd Runner-Up</t>
  </si>
  <si>
    <t>3 of 18</t>
  </si>
  <si>
    <t>Tony Vlachos</t>
  </si>
  <si>
    <t>1 of 20</t>
  </si>
  <si>
    <t>6th Juror</t>
  </si>
  <si>
    <t>4 of 16</t>
  </si>
  <si>
    <t>2 of 20</t>
  </si>
  <si>
    <t>8th Juror</t>
  </si>
  <si>
    <t>4 of 18</t>
  </si>
  <si>
    <t>Pre-Merge</t>
  </si>
  <si>
    <t>3rd Juror</t>
  </si>
  <si>
    <t>7 of 20</t>
  </si>
  <si>
    <t>9th Juror</t>
  </si>
  <si>
    <t>5th Juror</t>
  </si>
  <si>
    <t>8 of 18</t>
  </si>
  <si>
    <t>2nd Juror</t>
  </si>
  <si>
    <t>8 of 16</t>
  </si>
  <si>
    <t>Runner-Up (T)</t>
  </si>
  <si>
    <t>2 of 18 (T)</t>
  </si>
  <si>
    <t>5 of 16</t>
  </si>
  <si>
    <t>2 of 20 (T)</t>
  </si>
  <si>
    <t>10th Juror</t>
  </si>
  <si>
    <t>4 of 20</t>
  </si>
  <si>
    <t>6 of 18</t>
  </si>
  <si>
    <t>7 of 16</t>
  </si>
  <si>
    <t>4th Juror</t>
  </si>
  <si>
    <t>6 of 16</t>
  </si>
  <si>
    <t>Pre-Jury</t>
  </si>
  <si>
    <t>10 of 16</t>
  </si>
  <si>
    <t>3 of 20</t>
  </si>
  <si>
    <t>9 of 20</t>
  </si>
  <si>
    <t>Quit</t>
  </si>
  <si>
    <t>6 of 20</t>
  </si>
  <si>
    <t>7 of 18</t>
  </si>
  <si>
    <t>5 of 20</t>
  </si>
  <si>
    <t>10 of 18</t>
  </si>
  <si>
    <t>11 of 20</t>
  </si>
  <si>
    <t>5 of 18</t>
  </si>
  <si>
    <t>8 of 20</t>
  </si>
  <si>
    <t>Sarah Lacina</t>
  </si>
  <si>
    <t>16th Juror</t>
  </si>
  <si>
    <t>Natalie Anderson</t>
  </si>
  <si>
    <t>2-39</t>
  </si>
  <si>
    <t>Ben Driebergen</t>
  </si>
  <si>
    <t>15th Juror</t>
  </si>
  <si>
    <t>11 of 16</t>
  </si>
  <si>
    <t>Michele Fitzgerald</t>
  </si>
  <si>
    <t>Adam Klein</t>
  </si>
  <si>
    <t>23-35</t>
  </si>
  <si>
    <t>12 of 20</t>
  </si>
  <si>
    <t>9 of 18</t>
  </si>
  <si>
    <t>1st Juror</t>
  </si>
  <si>
    <t>11 of 18</t>
  </si>
  <si>
    <t>10 of 20</t>
  </si>
  <si>
    <t>9 of 16</t>
  </si>
  <si>
    <t>Jeremy Collins</t>
  </si>
  <si>
    <t>31-35</t>
  </si>
  <si>
    <t>12th Juror</t>
  </si>
  <si>
    <t>13 of 18</t>
  </si>
  <si>
    <t>Medevac</t>
  </si>
  <si>
    <t>Tyson Apostol</t>
  </si>
  <si>
    <t>Rob Mariano</t>
  </si>
  <si>
    <t>14-35</t>
  </si>
  <si>
    <t>17 of 20</t>
  </si>
  <si>
    <t>Nick Wilson</t>
  </si>
  <si>
    <t>34-35</t>
  </si>
  <si>
    <t>13th Juror</t>
  </si>
  <si>
    <t>13 of 20</t>
  </si>
  <si>
    <t>Parvati Shallow</t>
  </si>
  <si>
    <t>16-35</t>
  </si>
  <si>
    <t>16 of 20</t>
  </si>
  <si>
    <t xml:space="preserve">5 of 18 </t>
  </si>
  <si>
    <t>12 of 18</t>
  </si>
  <si>
    <t>12 of 16</t>
  </si>
  <si>
    <t>13 of 16</t>
  </si>
  <si>
    <t>Amber Mariano</t>
  </si>
  <si>
    <t>3-35</t>
  </si>
  <si>
    <t>20 of 20</t>
  </si>
  <si>
    <t>14 of 20</t>
  </si>
  <si>
    <t>15 of 20</t>
  </si>
  <si>
    <t>15 of 18</t>
  </si>
  <si>
    <t>14 of 18</t>
  </si>
  <si>
    <t>Denise Stapley</t>
  </si>
  <si>
    <t>14th Juror</t>
  </si>
  <si>
    <t>Kim Spradlin-Wolfe</t>
  </si>
  <si>
    <t>29-35</t>
  </si>
  <si>
    <t>11th Juror</t>
  </si>
  <si>
    <t>Sophie Clarke</t>
  </si>
  <si>
    <t>28-35</t>
  </si>
  <si>
    <t>Ethan Zohn</t>
  </si>
  <si>
    <t>9-35</t>
  </si>
  <si>
    <t>18 of 20</t>
  </si>
  <si>
    <t>Yul Kwon</t>
  </si>
  <si>
    <t>18-35</t>
  </si>
  <si>
    <t>1*</t>
  </si>
  <si>
    <t>17 of 18</t>
  </si>
  <si>
    <t>Sandra Diaz-Twine</t>
  </si>
  <si>
    <t>Leaves EoE</t>
  </si>
  <si>
    <t>19 of 20</t>
  </si>
  <si>
    <t>Danni Boatwright</t>
  </si>
  <si>
    <t>6-35</t>
  </si>
  <si>
    <t>Wendell Holland</t>
  </si>
  <si>
    <t>21-35</t>
  </si>
  <si>
    <t>16 of 18</t>
  </si>
  <si>
    <t>14 of 16</t>
  </si>
  <si>
    <t>18 of 18</t>
  </si>
  <si>
    <t>15 of 16</t>
  </si>
  <si>
    <t>16 of 16</t>
  </si>
  <si>
    <t>Evacuated</t>
  </si>
  <si>
    <t>Winner Leaders (Seasons 1-12, 21-36)</t>
  </si>
  <si>
    <t>Runner-Up Leaders (Seasons 1-12, 21-36)</t>
  </si>
  <si>
    <t>Jury Leaders (Seasons 1-12, 21-36)</t>
  </si>
  <si>
    <t>Pre-Jury Leaders (Seasons 1-12, 21-36)</t>
  </si>
  <si>
    <t>Returning Players Confessional Leaders (1-12, 21-34)</t>
  </si>
  <si>
    <t>Completed</t>
  </si>
  <si>
    <t>Partial</t>
  </si>
  <si>
    <t>(verified)</t>
  </si>
  <si>
    <t>Pending</t>
  </si>
  <si>
    <t>Seasons</t>
  </si>
  <si>
    <t>Abi-Maria Gomes</t>
  </si>
  <si>
    <t>25, 31</t>
  </si>
  <si>
    <t>33, 40</t>
  </si>
  <si>
    <t>Alicia Calaway</t>
  </si>
  <si>
    <t>2, (8)</t>
  </si>
  <si>
    <t>Amanda Kimmel</t>
  </si>
  <si>
    <t>Amber Brkich</t>
  </si>
  <si>
    <t>2, (8), (40)</t>
  </si>
  <si>
    <t>Ami Cusack</t>
  </si>
  <si>
    <t>9</t>
  </si>
  <si>
    <t>Andrea Boehlke</t>
  </si>
  <si>
    <t>22, 26, 34</t>
  </si>
  <si>
    <t>Andrew Savage</t>
  </si>
  <si>
    <t>7, 31</t>
  </si>
  <si>
    <t>Aras Baskauskas</t>
  </si>
  <si>
    <t>12, 27</t>
  </si>
  <si>
    <t>Aubry Bracco</t>
  </si>
  <si>
    <t>32, 34</t>
  </si>
  <si>
    <t>35, 40</t>
  </si>
  <si>
    <t>Bobby Jon Drinkard</t>
  </si>
  <si>
    <t>10, 11</t>
  </si>
  <si>
    <t>Brad Culpepper</t>
  </si>
  <si>
    <t>27, 34</t>
  </si>
  <si>
    <t>Brandon Hantz</t>
  </si>
  <si>
    <t>23, 26</t>
  </si>
  <si>
    <t>Brenda Lowe</t>
  </si>
  <si>
    <t>21, 26</t>
  </si>
  <si>
    <t>Caleb Reynolds</t>
  </si>
  <si>
    <t>Candice Woodcock/Cody</t>
  </si>
  <si>
    <t>27</t>
  </si>
  <si>
    <t>Ciera Eastin</t>
  </si>
  <si>
    <t>27, 31, 34</t>
  </si>
  <si>
    <t>Cirie Fields</t>
  </si>
  <si>
    <t>12, 34</t>
  </si>
  <si>
    <t>Coach Wade</t>
  </si>
  <si>
    <t>23</t>
  </si>
  <si>
    <t>Colby Donaldson</t>
  </si>
  <si>
    <t>Colton Cumbie</t>
  </si>
  <si>
    <t>24, 27</t>
  </si>
  <si>
    <t>Corinne Kaplan</t>
  </si>
  <si>
    <t>26</t>
  </si>
  <si>
    <t>Courtney Yates</t>
  </si>
  <si>
    <t>Danielle DiLorenzo</t>
  </si>
  <si>
    <t>12</t>
  </si>
  <si>
    <t>11, 40</t>
  </si>
  <si>
    <t>David Wright</t>
  </si>
  <si>
    <t>33</t>
  </si>
  <si>
    <t>Dawn Meehan</t>
  </si>
  <si>
    <t>Debbie Wanner</t>
  </si>
  <si>
    <t>25, 40</t>
  </si>
  <si>
    <t>Eliza Orlins</t>
  </si>
  <si>
    <t>Erik Reichenbach</t>
  </si>
  <si>
    <t>3, (8), (40)</t>
  </si>
  <si>
    <t>Francesca Hogi</t>
  </si>
  <si>
    <t>22, 26</t>
  </si>
  <si>
    <t>Gervase Peterson</t>
  </si>
  <si>
    <t>1, (27)</t>
  </si>
  <si>
    <t>Hali Ford</t>
  </si>
  <si>
    <t>30, 34</t>
  </si>
  <si>
    <t>J.T. Thomas</t>
  </si>
  <si>
    <t>34</t>
  </si>
  <si>
    <t>James Clement</t>
  </si>
  <si>
    <t>Jeff Varner</t>
  </si>
  <si>
    <t>2, (31), (34)</t>
  </si>
  <si>
    <t>Jenna Lewis</t>
  </si>
  <si>
    <t>1, (8)</t>
  </si>
  <si>
    <t>Jenna Morasca</t>
  </si>
  <si>
    <t>6, (8)</t>
  </si>
  <si>
    <t>29, 31, 40</t>
  </si>
  <si>
    <t>Jerri Manthey</t>
  </si>
  <si>
    <t>Joe Anglim</t>
  </si>
  <si>
    <t>30, 31</t>
  </si>
  <si>
    <t>John Cochran</t>
  </si>
  <si>
    <t>Jon Dalton</t>
  </si>
  <si>
    <t>7</t>
  </si>
  <si>
    <t>Jonathan Penner</t>
  </si>
  <si>
    <t>25</t>
  </si>
  <si>
    <t>Kass McQuillen</t>
  </si>
  <si>
    <t>28, 31</t>
  </si>
  <si>
    <t>Kat Edorsson</t>
  </si>
  <si>
    <t>Kathy Vavrick-O'Brien</t>
  </si>
  <si>
    <t>4, (8)</t>
  </si>
  <si>
    <t>Keith Nale</t>
  </si>
  <si>
    <t>29, 31</t>
  </si>
  <si>
    <t>Kelley Wentworth</t>
  </si>
  <si>
    <t>Kelly Wiglesworth</t>
  </si>
  <si>
    <t>1, (31)</t>
  </si>
  <si>
    <t>Kim Spradlin</t>
  </si>
  <si>
    <t>24, 40</t>
  </si>
  <si>
    <t>Kimmi Kappenberg</t>
  </si>
  <si>
    <t>2, (31)</t>
  </si>
  <si>
    <t>Laura Morett</t>
  </si>
  <si>
    <t>Lex van den Berghe</t>
  </si>
  <si>
    <t>3, (8)</t>
  </si>
  <si>
    <t>Malcolm Freberg</t>
  </si>
  <si>
    <t>25, 26, 34</t>
  </si>
  <si>
    <t>Michael Skupin</t>
  </si>
  <si>
    <t>2, (25)</t>
  </si>
  <si>
    <t>Michaela Bradshaw</t>
  </si>
  <si>
    <t>33, 34</t>
  </si>
  <si>
    <t>32, 40</t>
  </si>
  <si>
    <t>Monica Culpepper</t>
  </si>
  <si>
    <t>Monica Padilla</t>
  </si>
  <si>
    <t>31</t>
  </si>
  <si>
    <t>29, 40</t>
  </si>
  <si>
    <t>40</t>
  </si>
  <si>
    <t>Ozzy Lusth</t>
  </si>
  <si>
    <t>23, 34</t>
  </si>
  <si>
    <t>Peih-Gee Law</t>
  </si>
  <si>
    <t>Phillip Sheppard</t>
  </si>
  <si>
    <t>Randy Bailey</t>
  </si>
  <si>
    <t>Richard Hatch</t>
  </si>
  <si>
    <t>Rob Cesternino</t>
  </si>
  <si>
    <t>4, (8), (22), (40)</t>
  </si>
  <si>
    <t>Rudy Boesch</t>
  </si>
  <si>
    <t>Rupert Boneham</t>
  </si>
  <si>
    <t>7, 8, 27</t>
  </si>
  <si>
    <t>Russell Hantz</t>
  </si>
  <si>
    <t>22</t>
  </si>
  <si>
    <t>Russell Swan</t>
  </si>
  <si>
    <t>7, 34, 40</t>
  </si>
  <si>
    <t>28, 34, 40</t>
  </si>
  <si>
    <t>Shii Ann Huang</t>
  </si>
  <si>
    <t>5, (8)</t>
  </si>
  <si>
    <t>Shirin Oskooi</t>
  </si>
  <si>
    <t>Sierra Thomas</t>
  </si>
  <si>
    <t>23, 40</t>
  </si>
  <si>
    <t>Spencer Bledsoe</t>
  </si>
  <si>
    <t>Stephen Fishbach</t>
  </si>
  <si>
    <t>Stephenie LaGrossa</t>
  </si>
  <si>
    <t>Sugar Kiper</t>
  </si>
  <si>
    <t>Susan Hawk</t>
  </si>
  <si>
    <t>Tai Trang</t>
  </si>
  <si>
    <t>Tasha Fox</t>
  </si>
  <si>
    <t>Terry Deitz</t>
  </si>
  <si>
    <t>12, 31</t>
  </si>
  <si>
    <t>Tina Wesson</t>
  </si>
  <si>
    <t>2, (8), (27)</t>
  </si>
  <si>
    <t>Tom Buchanan</t>
  </si>
  <si>
    <t>Tom Westman</t>
  </si>
  <si>
    <t>10</t>
  </si>
  <si>
    <t>Troyzan Robertson</t>
  </si>
  <si>
    <t>24, 34</t>
  </si>
  <si>
    <t>27, 40</t>
  </si>
  <si>
    <t>Vytas Baskauskas</t>
  </si>
  <si>
    <t>27, 31</t>
  </si>
  <si>
    <t>36, 40</t>
  </si>
  <si>
    <t>Woo Hwang</t>
  </si>
  <si>
    <t>Yau-Man Chan</t>
  </si>
  <si>
    <t>Zeke Smith</t>
  </si>
  <si>
    <t>Zero Confessionals Per Season and Castaway (Seasons 1-12, 21-35)</t>
  </si>
  <si>
    <t>Episode</t>
  </si>
  <si>
    <t>Placement</t>
  </si>
  <si>
    <t>Notes</t>
  </si>
  <si>
    <t>#</t>
  </si>
  <si>
    <t>0 Confessionals</t>
  </si>
  <si>
    <t>Relevance</t>
  </si>
  <si>
    <t>Reward?</t>
  </si>
  <si>
    <t>Immunity?</t>
  </si>
  <si>
    <t>TC?</t>
  </si>
  <si>
    <t>Title</t>
  </si>
  <si>
    <t>Ramona Gray</t>
  </si>
  <si>
    <t>No</t>
  </si>
  <si>
    <t>Yes</t>
  </si>
  <si>
    <t>Dirk Been</t>
  </si>
  <si>
    <t>Greg Buis</t>
  </si>
  <si>
    <t>Premiere</t>
  </si>
  <si>
    <t>1st confessional on episode 2.</t>
  </si>
  <si>
    <t>Colleen Haskell</t>
  </si>
  <si>
    <t>Kel Gleason</t>
  </si>
  <si>
    <t>Nick Brown</t>
  </si>
  <si>
    <t>Rodger Bingham</t>
  </si>
  <si>
    <t>Elisabeth Filarski</t>
  </si>
  <si>
    <t>Carl Bilancione</t>
  </si>
  <si>
    <t>Linda Spencer</t>
  </si>
  <si>
    <t>Silas Gaither</t>
  </si>
  <si>
    <t>Kelly Goldsmith</t>
  </si>
  <si>
    <t>Kim Powers</t>
  </si>
  <si>
    <t>Boot episode</t>
  </si>
  <si>
    <t>Teresa Cooper</t>
  </si>
  <si>
    <t>Sarah Jones</t>
  </si>
  <si>
    <t>John Carroll</t>
  </si>
  <si>
    <t>N/A</t>
  </si>
  <si>
    <t>Zoe Zanidakis</t>
  </si>
  <si>
    <t>4 consecutive episodes.</t>
  </si>
  <si>
    <t>Robert DeCanio</t>
  </si>
  <si>
    <t>Neleh Dennis</t>
  </si>
  <si>
    <t>Vecepia Towery</t>
  </si>
  <si>
    <t>2 consecutive episodes.</t>
  </si>
  <si>
    <t>Stephanie Dill</t>
  </si>
  <si>
    <t>Grindgate</t>
  </si>
  <si>
    <t>Erin Collins</t>
  </si>
  <si>
    <t>Ken Stafford</t>
  </si>
  <si>
    <t>Auction</t>
  </si>
  <si>
    <t>Penny Ramsey</t>
  </si>
  <si>
    <t>Jake Billingsley</t>
  </si>
  <si>
    <t>Fake Merge</t>
  </si>
  <si>
    <t>Ted Rogers, Jr.</t>
  </si>
  <si>
    <t>Jan Gentry</t>
  </si>
  <si>
    <t>Daniel Lue</t>
  </si>
  <si>
    <t>Joanna Ward</t>
  </si>
  <si>
    <t>Boot Episode</t>
  </si>
  <si>
    <t>Roger Sexton</t>
  </si>
  <si>
    <t>Christy Smith</t>
  </si>
  <si>
    <t>Butch Lockley</t>
  </si>
  <si>
    <t>Loved Ones Visit</t>
  </si>
  <si>
    <t>Trish Dunn</t>
  </si>
  <si>
    <t>Ryan Opray</t>
  </si>
  <si>
    <t>Outcast Twist/Double Boot</t>
  </si>
  <si>
    <t>2 Outcasts Return/Merge</t>
  </si>
  <si>
    <t>Tijuana Bradley</t>
  </si>
  <si>
    <t>Christa Hastie</t>
  </si>
  <si>
    <t>3 consecutive episodes.</t>
  </si>
  <si>
    <t>Darrah Johnson</t>
  </si>
  <si>
    <t>Quits.</t>
  </si>
  <si>
    <t>Saboga dissolved</t>
  </si>
  <si>
    <t>Jenna M. quits</t>
  </si>
  <si>
    <t>Susan quits</t>
  </si>
  <si>
    <t>Brady Finta</t>
  </si>
  <si>
    <t>Double Boot Episode</t>
  </si>
  <si>
    <t>Travis Sampson</t>
  </si>
  <si>
    <t>Lisa Keiffer</t>
  </si>
  <si>
    <t>John Kenney</t>
  </si>
  <si>
    <t>Lea "Sarge" Masters</t>
  </si>
  <si>
    <t>Chad Crittenden</t>
  </si>
  <si>
    <t>Leann Slaby</t>
  </si>
  <si>
    <t>Julie Berry</t>
  </si>
  <si>
    <t>Scout Cloud Lee</t>
  </si>
  <si>
    <t>Tribe Swap</t>
  </si>
  <si>
    <t>Chris Daugherty</t>
  </si>
  <si>
    <t>Jeff Wilson</t>
  </si>
  <si>
    <t>1st confessional on Ep2.</t>
  </si>
  <si>
    <t>Kim Mullen</t>
  </si>
  <si>
    <t>Willard Smith</t>
  </si>
  <si>
    <t>Ibrehem Rahman</t>
  </si>
  <si>
    <t>Coby Archa</t>
  </si>
  <si>
    <t>Janu Tornell</t>
  </si>
  <si>
    <t>Double Tribal</t>
  </si>
  <si>
    <t>Gregg Carey</t>
  </si>
  <si>
    <t>Caryn Groedel</t>
  </si>
  <si>
    <t>Jenn Lyon</t>
  </si>
  <si>
    <t>1st confessional on Ep4. 3 consecutive episodes.</t>
  </si>
  <si>
    <t>Ian Rosenberger</t>
  </si>
  <si>
    <t>Katie Gallagher</t>
  </si>
  <si>
    <t>Morgan McDevitt</t>
  </si>
  <si>
    <t>Brooke Struck</t>
  </si>
  <si>
    <t>Blake Towsley</t>
  </si>
  <si>
    <t>Amy O'Hara</t>
  </si>
  <si>
    <t>Cindy Hall</t>
  </si>
  <si>
    <t>Lydia Morales</t>
  </si>
  <si>
    <t>Rafe Judkins</t>
  </si>
  <si>
    <t>Misty Giles</t>
  </si>
  <si>
    <t>Ruth-Marie Milliman</t>
  </si>
  <si>
    <t>Bobby Mason</t>
  </si>
  <si>
    <t>Bruce Kanegai</t>
  </si>
  <si>
    <t>Medevaced.</t>
  </si>
  <si>
    <t>Courtney Marit</t>
  </si>
  <si>
    <t>Shane Powers</t>
  </si>
  <si>
    <t>Aras Bakauskas</t>
  </si>
  <si>
    <t>Cecilia Mansilla</t>
  </si>
  <si>
    <t>Cristina Coria</t>
  </si>
  <si>
    <t>Jessica "Flicka" Smith</t>
  </si>
  <si>
    <t>Brad Virata</t>
  </si>
  <si>
    <t>Rebecca Borman</t>
  </si>
  <si>
    <t>Jenny Guzon-Bae</t>
  </si>
  <si>
    <t>Candice Woodcock</t>
  </si>
  <si>
    <t>Adam Gentry</t>
  </si>
  <si>
    <t>Sundra Oakley</t>
  </si>
  <si>
    <t>Becky Lee</t>
  </si>
  <si>
    <t>Gary Stritesky</t>
  </si>
  <si>
    <t>16 of 19</t>
  </si>
  <si>
    <t>Liliana Gomez</t>
  </si>
  <si>
    <t>15 of 19</t>
  </si>
  <si>
    <t>Rita Verreos</t>
  </si>
  <si>
    <t>14 of 19</t>
  </si>
  <si>
    <t>Lisi Linares</t>
  </si>
  <si>
    <t>11 of 19</t>
  </si>
  <si>
    <t>Michelle Yi</t>
  </si>
  <si>
    <t>10 of 19</t>
  </si>
  <si>
    <t>Edgardo Rivera</t>
  </si>
  <si>
    <t>9 of 19</t>
  </si>
  <si>
    <t>Mookie Lee</t>
  </si>
  <si>
    <t>8 of 19</t>
  </si>
  <si>
    <t>Alex Angarita</t>
  </si>
  <si>
    <t>7 of 19</t>
  </si>
  <si>
    <t>Stacy Kimball</t>
  </si>
  <si>
    <t>6 of 19</t>
  </si>
  <si>
    <t>Boo Bernis</t>
  </si>
  <si>
    <t>5 of 19</t>
  </si>
  <si>
    <t>Cassandra Franklin</t>
  </si>
  <si>
    <t>Sherea Lloyd</t>
  </si>
  <si>
    <t>Jaime Dugan</t>
  </si>
  <si>
    <t>Erik Huffman</t>
  </si>
  <si>
    <t>Denise Martin</t>
  </si>
  <si>
    <t>Mary Sartain</t>
  </si>
  <si>
    <t>Chet Welch</t>
  </si>
  <si>
    <t>Kathy Sleckman</t>
  </si>
  <si>
    <t>Tracy Hughes-Wolf</t>
  </si>
  <si>
    <t>Jason Siska</t>
  </si>
  <si>
    <t>Alexis Jones</t>
  </si>
  <si>
    <t>Natalie Bolton</t>
  </si>
  <si>
    <t>Paloma Soto-Castillo</t>
  </si>
  <si>
    <t>Jacquie Berg</t>
  </si>
  <si>
    <t>GC Brown</t>
  </si>
  <si>
    <t>Kelly Czarnecki</t>
  </si>
  <si>
    <t>Ace Gordon</t>
  </si>
  <si>
    <t>Dan Kay</t>
  </si>
  <si>
    <t>Charlie Herschel</t>
  </si>
  <si>
    <t>Crystal Cox</t>
  </si>
  <si>
    <t>Ken Hoang</t>
  </si>
  <si>
    <t>Matty Whitmore</t>
  </si>
  <si>
    <t>Susie Smith</t>
  </si>
  <si>
    <t>Bob Crowley</t>
  </si>
  <si>
    <t>Candace Smith</t>
  </si>
  <si>
    <t>Jerry Sims</t>
  </si>
  <si>
    <t>Sandy Burgin</t>
  </si>
  <si>
    <t>Spencer Duhm</t>
  </si>
  <si>
    <t>Sydney Wheeler</t>
  </si>
  <si>
    <t>Joe Dowdle</t>
  </si>
  <si>
    <t>Sierra Reed</t>
  </si>
  <si>
    <t>Debbie Beebe</t>
  </si>
  <si>
    <t>Taj Johnson-George</t>
  </si>
  <si>
    <t>Erinn Lobdell</t>
  </si>
  <si>
    <t>Yasmin Giles</t>
  </si>
  <si>
    <t>Ashley Trainer</t>
  </si>
  <si>
    <t>Liz Kim</t>
  </si>
  <si>
    <t>Erik Cardona</t>
  </si>
  <si>
    <t>Kelly Sharbaugh</t>
  </si>
  <si>
    <t>John Fincher</t>
  </si>
  <si>
    <t>Dave Ball</t>
  </si>
  <si>
    <t>Shambo Waters</t>
  </si>
  <si>
    <t>Jaison Robinson</t>
  </si>
  <si>
    <t>Brett Clouser</t>
  </si>
  <si>
    <t>Natalie White</t>
  </si>
  <si>
    <t>Tyrone Davis</t>
  </si>
  <si>
    <t>1st conf in Ep. 2.</t>
  </si>
  <si>
    <t>Kelly Bruno</t>
  </si>
  <si>
    <t>Yve Rojas</t>
  </si>
  <si>
    <t>2 consecutive episodes. 1st conf. in Ep. 3.</t>
  </si>
  <si>
    <t>Jill Behm</t>
  </si>
  <si>
    <t>1st conf. in Ep. 2.</t>
  </si>
  <si>
    <t>Alina Wilson</t>
  </si>
  <si>
    <t>Kelly Shinn</t>
  </si>
  <si>
    <t>Quits. 6 + 3 consecutive eps. 1st conf. in Ep. 7.</t>
  </si>
  <si>
    <t>Double Boot Ep.</t>
  </si>
  <si>
    <t>Benry Henry</t>
  </si>
  <si>
    <t>4 consecutive eps. 1st conf. in Ep. 5.</t>
  </si>
  <si>
    <t>Jane Bright</t>
  </si>
  <si>
    <t>Dan Lembo</t>
  </si>
  <si>
    <t>2 consecutive eps. 1st conf. in Ep. 2.</t>
  </si>
  <si>
    <t>Holly Hoffman</t>
  </si>
  <si>
    <t>Sash Lenahan</t>
  </si>
  <si>
    <t>Chase Rice</t>
  </si>
  <si>
    <t>Fabio Birza</t>
  </si>
  <si>
    <t>Kristina Kell</t>
  </si>
  <si>
    <t>Eliminated @ RI</t>
  </si>
  <si>
    <t>Krista Klumpp</t>
  </si>
  <si>
    <t>3 consecutive eps. 1st conf. in Ep. 4.</t>
  </si>
  <si>
    <t>Zapatera throws IC</t>
  </si>
  <si>
    <t>Stephanie Valencia</t>
  </si>
  <si>
    <t>Sarita White</t>
  </si>
  <si>
    <t>David Murphy</t>
  </si>
  <si>
    <t>Julie Wolfe</t>
  </si>
  <si>
    <t>2 consecutive eps. 1st conf. in Ep. 3.</t>
  </si>
  <si>
    <t>Steve Wright</t>
  </si>
  <si>
    <t>Double boot Ep</t>
  </si>
  <si>
    <t>Ralph Kiser</t>
  </si>
  <si>
    <t>Steve/Phillip fight</t>
  </si>
  <si>
    <t>Grant Mattos</t>
  </si>
  <si>
    <t>1st confessional in Episode 2.</t>
  </si>
  <si>
    <t>Matthew Elrod</t>
  </si>
  <si>
    <t>@ RI</t>
  </si>
  <si>
    <t>Mike Chiesl</t>
  </si>
  <si>
    <t>Ashley Underwood</t>
  </si>
  <si>
    <t>2 &amp; 3 consecutive episodes.</t>
  </si>
  <si>
    <t>Natalie Tenerelli</t>
  </si>
  <si>
    <t>7 consecutive episodes.</t>
  </si>
  <si>
    <t>Double TC</t>
  </si>
  <si>
    <t>Semhar Tadesse</t>
  </si>
  <si>
    <t>Mark Caruso</t>
  </si>
  <si>
    <t>Stacey Powell</t>
  </si>
  <si>
    <t>Elyse Umemoto</t>
  </si>
  <si>
    <t>Mikayla Wingle</t>
  </si>
  <si>
    <t>Christine Shields</t>
  </si>
  <si>
    <t>Keith Tollefson</t>
  </si>
  <si>
    <t>Whitney Duncan</t>
  </si>
  <si>
    <t>2 sets of 4 consecutive eps. 1st conf. in Ep. 5.</t>
  </si>
  <si>
    <t>Edna Ma</t>
  </si>
  <si>
    <t>Rick Nelson</t>
  </si>
  <si>
    <t>2 sets of 4 consecutive episodes.</t>
  </si>
  <si>
    <t>Albert Destrade</t>
  </si>
  <si>
    <t>4 &amp; 2 consecutive eps. 1st conf. in Ep. 5.</t>
  </si>
  <si>
    <t>Matt Quinlan</t>
  </si>
  <si>
    <t>Bill Posley</t>
  </si>
  <si>
    <t>Premier</t>
  </si>
  <si>
    <t>1st confessional in Ep. 2.</t>
  </si>
  <si>
    <t>Michael Jefferson</t>
  </si>
  <si>
    <t>Tribe swap</t>
  </si>
  <si>
    <t>Colton medevac/Merge @ TC</t>
  </si>
  <si>
    <t>Leif Manson</t>
  </si>
  <si>
    <t>2 sets of 2 consecutive episodes.</t>
  </si>
  <si>
    <t>2 consecutive eps. 1st confessional in Ep. 2.</t>
  </si>
  <si>
    <t>Greg "Tarzan" Smith</t>
  </si>
  <si>
    <t>Alicia Rosa</t>
  </si>
  <si>
    <t>Christina Cha</t>
  </si>
  <si>
    <t>Chelsea Meissner</t>
  </si>
  <si>
    <t>Sabrina Thompson</t>
  </si>
  <si>
    <t>Dana Lambert</t>
  </si>
  <si>
    <t>Quit.</t>
  </si>
  <si>
    <t>Sarah Dawson</t>
  </si>
  <si>
    <t>Katie Hanson</t>
  </si>
  <si>
    <t>Artis Silvester</t>
  </si>
  <si>
    <t>1st conf. in ep. 3. 2 sets of 2 consecutive eps.</t>
  </si>
  <si>
    <t>Matsing absorbed</t>
  </si>
  <si>
    <t>Pete Yurkowski</t>
  </si>
  <si>
    <t>Carter Williams</t>
  </si>
  <si>
    <t>1st conf. in ep. 4. 3 consecutive eps. + 2 sets of 2.</t>
  </si>
  <si>
    <t>5 consecutive episodes.</t>
  </si>
  <si>
    <t>Hope Driskill</t>
  </si>
  <si>
    <t>2 consecutive episodes. 1st conf. in ep. 3 (boot ep).</t>
  </si>
  <si>
    <t>Matt Bischoff</t>
  </si>
  <si>
    <t>Julia Landauer</t>
  </si>
  <si>
    <t>Brandongate</t>
  </si>
  <si>
    <t>1st confessional in Ep. 3. 2 consecutive episodes.</t>
  </si>
  <si>
    <t>Michael Snow</t>
  </si>
  <si>
    <t>9 consecutive episodes.</t>
  </si>
  <si>
    <t>4 consecutive episodes. Medevaced.</t>
  </si>
  <si>
    <t>Medevaced</t>
  </si>
  <si>
    <t>Eddie Fox</t>
  </si>
  <si>
    <t>Sherri Biethman</t>
  </si>
  <si>
    <t>Dawn loses retainer</t>
  </si>
  <si>
    <t>Rachel Foulger</t>
  </si>
  <si>
    <t>Marissa Peterson</t>
  </si>
  <si>
    <t>Candice Cody</t>
  </si>
  <si>
    <t>Colton quits</t>
  </si>
  <si>
    <t>John Cody</t>
  </si>
  <si>
    <t>Laura Boneham</t>
  </si>
  <si>
    <t>Caleb Bankston</t>
  </si>
  <si>
    <t>Katie Collins</t>
  </si>
  <si>
    <t>2 consecutive episodes. Rocked out.</t>
  </si>
  <si>
    <t>3 sets of 2 consecutive episodes.</t>
  </si>
  <si>
    <t>Double boot ep.</t>
  </si>
  <si>
    <t>TC Rock Draw</t>
  </si>
  <si>
    <t>Cliff Robinson</t>
  </si>
  <si>
    <t>Lindsey Ogle</t>
  </si>
  <si>
    <t>2 consecutive episodes. Quits.</t>
  </si>
  <si>
    <t>Alexis Maxwell</t>
  </si>
  <si>
    <t>Part 2 of 2hr Premiere</t>
  </si>
  <si>
    <t>Morgan McLeod</t>
  </si>
  <si>
    <t>Lindsey quits</t>
  </si>
  <si>
    <t>LJ McKanas</t>
  </si>
  <si>
    <t>Immunity Idol search</t>
  </si>
  <si>
    <t>Jeremiah Wood</t>
  </si>
  <si>
    <t>Jefra Bland</t>
  </si>
  <si>
    <t>Trish Hegarty</t>
  </si>
  <si>
    <t>Drew Christy</t>
  </si>
  <si>
    <t>Dale Wentworth</t>
  </si>
  <si>
    <t>Julie McGee</t>
  </si>
  <si>
    <t>Josh Canfield</t>
  </si>
  <si>
    <t>Wes Nale</t>
  </si>
  <si>
    <t>@ Exile. Boot ep.</t>
  </si>
  <si>
    <t>Reed Kelly</t>
  </si>
  <si>
    <t>Alec Christy</t>
  </si>
  <si>
    <t>Merge. Julie quits.</t>
  </si>
  <si>
    <t>Jon Misch</t>
  </si>
  <si>
    <t>Baylor Wilson</t>
  </si>
  <si>
    <t>@ Exile</t>
  </si>
  <si>
    <t>Missy Payne</t>
  </si>
  <si>
    <t>Jaclyn Schultz</t>
  </si>
  <si>
    <t>Max Dawson</t>
  </si>
  <si>
    <t>Kelly Remington</t>
  </si>
  <si>
    <t>Tyler Fredrickson</t>
  </si>
  <si>
    <t>Dan Foley</t>
  </si>
  <si>
    <t>Will Sims II</t>
  </si>
  <si>
    <t>Carolyn Rivera</t>
  </si>
  <si>
    <t>Terry Dietz</t>
  </si>
  <si>
    <t>Evacuated from game due to family emergency.</t>
  </si>
  <si>
    <t>Terry Evacuated</t>
  </si>
  <si>
    <t>1st Tribe Swap</t>
  </si>
  <si>
    <t>6 consecutive episodes.</t>
  </si>
  <si>
    <t>Terry Evacuated/2nd Tribe Swap</t>
  </si>
  <si>
    <t>3 &amp; 2 consecutive episodes.</t>
  </si>
  <si>
    <t>Anna Khait</t>
  </si>
  <si>
    <t>Caleb Medevaced</t>
  </si>
  <si>
    <t>Neal Gottlieb</t>
  </si>
  <si>
    <t>Nick Maiorano</t>
  </si>
  <si>
    <t>Scot Pollard</t>
  </si>
  <si>
    <t>Julia Sokolowski</t>
  </si>
  <si>
    <t>Neal Medevaced</t>
  </si>
  <si>
    <t>Kyle Jason</t>
  </si>
  <si>
    <t>Joe Del Campo</t>
  </si>
  <si>
    <t>Cydney Gillon</t>
  </si>
  <si>
    <t>Lucy Huang</t>
  </si>
  <si>
    <t>3 consecutive episodes. 1st confessional on Ep4.</t>
  </si>
  <si>
    <t>Ciandre "CeCe" Taylor</t>
  </si>
  <si>
    <t>Jessica "Figgy" Figueroa</t>
  </si>
  <si>
    <t>Michelle Schubert</t>
  </si>
  <si>
    <t>Taylor Lee Stocker</t>
  </si>
  <si>
    <t>Chris Hammons</t>
  </si>
  <si>
    <t>Jessica Lewis</t>
  </si>
  <si>
    <t>Will Wahl</t>
  </si>
  <si>
    <t>Sunday Burquest</t>
  </si>
  <si>
    <t>3 + 2 consecutive episodes.</t>
  </si>
  <si>
    <t>Bret LaBelle</t>
  </si>
  <si>
    <t>Ken McNickle</t>
  </si>
  <si>
    <t>Hannah Shapiro</t>
  </si>
  <si>
    <t>Sierra Dawn Thomas</t>
  </si>
  <si>
    <t>Loved Ones</t>
  </si>
  <si>
    <t>3 consecutive episodes + 2 consecutive episodes.</t>
  </si>
  <si>
    <t>Simone Nguyen</t>
  </si>
  <si>
    <t>Roark Luskin</t>
  </si>
  <si>
    <t>Jessica Johnston</t>
  </si>
  <si>
    <t>Desiree "Desi" Williams</t>
  </si>
  <si>
    <t>Cole Medders</t>
  </si>
  <si>
    <t>John "JP" Hilsabeck</t>
  </si>
  <si>
    <t>Ashley Nolan</t>
  </si>
  <si>
    <t>Mike Zahalsky</t>
  </si>
  <si>
    <t>Chrissy Hofbeck</t>
  </si>
  <si>
    <t>Morgan Ricke</t>
  </si>
  <si>
    <t>James Lim</t>
  </si>
  <si>
    <t>Bradley Kleihege</t>
  </si>
  <si>
    <t>Libby Vincek</t>
  </si>
  <si>
    <t>2 consecutive eps + 3 consecutive eps.</t>
  </si>
  <si>
    <t>Tribe Expansion</t>
  </si>
  <si>
    <t>Desiree Afuye</t>
  </si>
  <si>
    <t>Jenna Bowman</t>
  </si>
  <si>
    <t>Chelsea Townsend</t>
  </si>
  <si>
    <t>3 consecutive eps. + 4 consecutive eps.</t>
  </si>
  <si>
    <t>Kellyn Bechtold</t>
  </si>
  <si>
    <t>Sebastian Noel</t>
  </si>
  <si>
    <t>Donathan Hurley</t>
  </si>
  <si>
    <t>Angela Perkins</t>
  </si>
  <si>
    <t>2 sets of 2 consecutive eps + 3 consecutive eps.</t>
  </si>
  <si>
    <t>Laurel Johnson</t>
  </si>
  <si>
    <t>Domenick Abbate</t>
  </si>
  <si>
    <t>Jessica Peet</t>
  </si>
  <si>
    <t>Jeremy Crawford</t>
  </si>
  <si>
    <t>Bi Nguyen</t>
  </si>
  <si>
    <t>Natalia Azoqa</t>
  </si>
  <si>
    <t>Natalie Cole</t>
  </si>
  <si>
    <t>Lyrsa Torres</t>
  </si>
  <si>
    <t>Elizabeth Olson</t>
  </si>
  <si>
    <t>John Hennigan</t>
  </si>
  <si>
    <t>Dan Rengering</t>
  </si>
  <si>
    <t>Alec Merlino</t>
  </si>
  <si>
    <t>Carl Boudreaux</t>
  </si>
  <si>
    <t>Gabby Pascuzzi</t>
  </si>
  <si>
    <t>Christian Hubicki</t>
  </si>
  <si>
    <t>Davie Rickenbacker</t>
  </si>
  <si>
    <t>Alison Raybould</t>
  </si>
  <si>
    <t>Kara Kay</t>
  </si>
  <si>
    <t>Angelina Keeley</t>
  </si>
  <si>
    <t>Mike White</t>
  </si>
  <si>
    <t>Keith Sowell</t>
  </si>
  <si>
    <t>Wendy Diaz</t>
  </si>
  <si>
    <t>Reem Daly</t>
  </si>
  <si>
    <t>Eric Hafemann</t>
  </si>
  <si>
    <t>Julia Carter</t>
  </si>
  <si>
    <t>Wardog DaSilva</t>
  </si>
  <si>
    <t>Ron Clark</t>
  </si>
  <si>
    <t>Aurora McCreary</t>
  </si>
  <si>
    <t>Victoria Baamonde</t>
  </si>
  <si>
    <t>Lauren O'Connell</t>
  </si>
  <si>
    <t>Rick Devens</t>
  </si>
  <si>
    <t>Julie Rosenberg</t>
  </si>
  <si>
    <t>Gavin Whitson</t>
  </si>
  <si>
    <t>Chris Underwood</t>
  </si>
  <si>
    <t>Ronnie Bardah</t>
  </si>
  <si>
    <t>Molly Byman</t>
  </si>
  <si>
    <t>Vince Moua</t>
  </si>
  <si>
    <t>Chelsea Walker</t>
  </si>
  <si>
    <t>Tom Laidlaw</t>
  </si>
  <si>
    <t>Jason Linden</t>
  </si>
  <si>
    <t>Jack Nichting</t>
  </si>
  <si>
    <t>Kellee Kim</t>
  </si>
  <si>
    <t>Jamal Shipman</t>
  </si>
  <si>
    <t>Aaron Meredith</t>
  </si>
  <si>
    <t>Missy Byrd</t>
  </si>
  <si>
    <t>Elizabeth Beisel</t>
  </si>
  <si>
    <t>Karishma Patel</t>
  </si>
  <si>
    <t>Elaine Stott</t>
  </si>
  <si>
    <t>Dan Spilo</t>
  </si>
  <si>
    <t>Janet Carbin</t>
  </si>
  <si>
    <t>Lauren Beck</t>
  </si>
  <si>
    <t>Noura Salman</t>
  </si>
  <si>
    <t>Dean Kowalski</t>
  </si>
  <si>
    <t>Tommy Sheehan</t>
  </si>
  <si>
    <t>At Edge of Extinction.</t>
  </si>
  <si>
    <t>Part 1 of 2 hr Episode</t>
  </si>
  <si>
    <t>Finale</t>
  </si>
  <si>
    <t>Quits EoE.</t>
  </si>
  <si>
    <t>Part 2 of 2 hr Episode</t>
  </si>
  <si>
    <t>Confessional Breakdown Per Season (Seasons 1-12, 21-36)</t>
  </si>
  <si>
    <t>Confessionals</t>
  </si>
  <si>
    <t>Breakdown</t>
  </si>
  <si>
    <t>Total</t>
  </si>
  <si>
    <t>Women</t>
  </si>
  <si>
    <t>Men</t>
  </si>
  <si>
    <t>Zero Confessionals</t>
  </si>
  <si>
    <t>Season 01: Borneo</t>
  </si>
  <si>
    <t>322 (49%)</t>
  </si>
  <si>
    <t>335 (51%)</t>
  </si>
  <si>
    <t>Season 40: Winners at War</t>
  </si>
  <si>
    <t>254 (44%)</t>
  </si>
  <si>
    <t>319 (56%)</t>
  </si>
  <si>
    <t>Link</t>
  </si>
  <si>
    <t>Season 02: The Australian Outback</t>
  </si>
  <si>
    <t>264 (47%)</t>
  </si>
  <si>
    <t>297 (53%)</t>
  </si>
  <si>
    <t>Season 08: All-Stars</t>
  </si>
  <si>
    <t>234 (46%)</t>
  </si>
  <si>
    <t>273 (54%)</t>
  </si>
  <si>
    <t>Season 07: Pearl Islands</t>
  </si>
  <si>
    <t>214 (43%)</t>
  </si>
  <si>
    <t>287 (57%)</t>
  </si>
  <si>
    <t>Season 03: Africa</t>
  </si>
  <si>
    <t>174 (35%)</t>
  </si>
  <si>
    <t>326 (65%)</t>
  </si>
  <si>
    <t>Season 32: Kaôh Rōng</t>
  </si>
  <si>
    <t>249 (50%)</t>
  </si>
  <si>
    <t>245 (50%)</t>
  </si>
  <si>
    <t>Season 06: The Amazon</t>
  </si>
  <si>
    <t>227 (47%)</t>
  </si>
  <si>
    <t>259 (53%)</t>
  </si>
  <si>
    <t>Season 05: Thailand</t>
  </si>
  <si>
    <t>205 (42%)</t>
  </si>
  <si>
    <t>278 (58%)</t>
  </si>
  <si>
    <t>Season 04: Marquesas</t>
  </si>
  <si>
    <t>244 (51%)</t>
  </si>
  <si>
    <t>234 (49%)</t>
  </si>
  <si>
    <t>Season 28: Cagayan</t>
  </si>
  <si>
    <t>193 (42%)</t>
  </si>
  <si>
    <t>266 (58%)</t>
  </si>
  <si>
    <t>Season 30: Worlds Apart</t>
  </si>
  <si>
    <t>186 (41%)</t>
  </si>
  <si>
    <t>271 (59%)</t>
  </si>
  <si>
    <t>Season 29: San Juan Del Sur</t>
  </si>
  <si>
    <t>175 (39%)</t>
  </si>
  <si>
    <t>270 (61%)</t>
  </si>
  <si>
    <t>Season 11: Guatemala</t>
  </si>
  <si>
    <t>215 (49%)</t>
  </si>
  <si>
    <t>226 (51%)</t>
  </si>
  <si>
    <t>Season 31: Cambodia</t>
  </si>
  <si>
    <t>181 (41%)</t>
  </si>
  <si>
    <t>257 (59%)</t>
  </si>
  <si>
    <t>Season 25: Philippines</t>
  </si>
  <si>
    <t>185 (43%)</t>
  </si>
  <si>
    <t>250 (57%)</t>
  </si>
  <si>
    <t>Season 33: Millennials vs. Gen X</t>
  </si>
  <si>
    <t>113 (26%)</t>
  </si>
  <si>
    <t>322 (74%)</t>
  </si>
  <si>
    <t>Season 27: Blood vs. Water</t>
  </si>
  <si>
    <t>192 (44%)</t>
  </si>
  <si>
    <t>241 (56%)</t>
  </si>
  <si>
    <t>Season 35: Heroes vs. Healers vs. Hustlers</t>
  </si>
  <si>
    <t>167 (39%)</t>
  </si>
  <si>
    <t>264 (61%)</t>
  </si>
  <si>
    <t>Season 10: Palau</t>
  </si>
  <si>
    <t>242 (57%)</t>
  </si>
  <si>
    <t>Season 22: Redemption Island</t>
  </si>
  <si>
    <t>135 (32%)</t>
  </si>
  <si>
    <t>289 (68%)</t>
  </si>
  <si>
    <t>Season 09: Vanuatu</t>
  </si>
  <si>
    <t>224 (53%)</t>
  </si>
  <si>
    <t>195 (47%)</t>
  </si>
  <si>
    <t>Season 21: Nicaragua</t>
  </si>
  <si>
    <t>194 (47%)</t>
  </si>
  <si>
    <t>222 (53%)</t>
  </si>
  <si>
    <t>Season 26: Caramoan</t>
  </si>
  <si>
    <t>145 (35%)</t>
  </si>
  <si>
    <t>268 (65%)</t>
  </si>
  <si>
    <t>Season 34: Game Changers - The Mamanuca Islands</t>
  </si>
  <si>
    <t>234 (57%)</t>
  </si>
  <si>
    <t>178 (43%)</t>
  </si>
  <si>
    <t>Season 12: Panama</t>
  </si>
  <si>
    <t>176 (44%)</t>
  </si>
  <si>
    <t>227 (56%)</t>
  </si>
  <si>
    <t>Season 23: South Pacific</t>
  </si>
  <si>
    <t>112 (28%)</t>
  </si>
  <si>
    <t>289 (72%)</t>
  </si>
  <si>
    <t>Season 36: Ghost Island</t>
  </si>
  <si>
    <t>144 (37%)</t>
  </si>
  <si>
    <t>249 (63%)</t>
  </si>
  <si>
    <t>Season 24: One World</t>
  </si>
  <si>
    <t>219 (57%)</t>
  </si>
  <si>
    <t>163 (43%)</t>
  </si>
  <si>
    <t>Season 13: Cook Islands</t>
  </si>
  <si>
    <t>Season 14: Fiji</t>
  </si>
  <si>
    <t>Season 15: China</t>
  </si>
  <si>
    <t>Season 16: Micronesia</t>
  </si>
  <si>
    <t>Season 17: Gabon</t>
  </si>
  <si>
    <t>Season 18: Tocantins</t>
  </si>
  <si>
    <t>Season 19: Samoa</t>
  </si>
  <si>
    <t>Season 20: Heroes vs Villains</t>
  </si>
  <si>
    <t>Season 37: David vs. Goliath</t>
  </si>
  <si>
    <t>Season 38: Edge of Extinction</t>
  </si>
  <si>
    <t>Season 39: Island of the Idols</t>
  </si>
  <si>
    <t>Episode Titles (21-36, 40)</t>
  </si>
  <si>
    <t>Episode Title</t>
  </si>
  <si>
    <t>Ben</t>
  </si>
  <si>
    <t>40x01: Greatest of the Greats</t>
  </si>
  <si>
    <t>40x08: This Is Where the Battle Begins</t>
  </si>
  <si>
    <t>40x10: The Full Circle</t>
  </si>
  <si>
    <t>Jeremy</t>
  </si>
  <si>
    <t>40x06: Quick on the Draw</t>
  </si>
  <si>
    <t>40x13: The Penultimate Step of the War (Pt. 1)</t>
  </si>
  <si>
    <t>40x14: The Penultimate Step of the War (Pt. 2)</t>
  </si>
  <si>
    <t>Tony</t>
  </si>
  <si>
    <t>40x11: This Is Extortion</t>
  </si>
  <si>
    <t>40x15: It All Boils Down to This</t>
  </si>
  <si>
    <t>Natalie</t>
  </si>
  <si>
    <t>40x02: It's Like a Survivor Economy</t>
  </si>
  <si>
    <t>Michele</t>
  </si>
  <si>
    <t>40x03: Out for Blood</t>
  </si>
  <si>
    <t>Sandra</t>
  </si>
  <si>
    <t>40x04: I Like Revenge</t>
  </si>
  <si>
    <t>Sarah</t>
  </si>
  <si>
    <t>40x05: The Buddy System on Steroids</t>
  </si>
  <si>
    <t>Rob</t>
  </si>
  <si>
    <t>40x07: We're in the Majors</t>
  </si>
  <si>
    <t>Probst</t>
  </si>
  <si>
    <t>40x09: War Is Not Pretty</t>
  </si>
  <si>
    <t>Nick</t>
  </si>
  <si>
    <t>40x12: Friendly Fire</t>
  </si>
  <si>
    <t>39x01: I Vote You Out and That's It</t>
  </si>
  <si>
    <t>38x01: It Smells Like Success</t>
  </si>
  <si>
    <t>Christian</t>
  </si>
  <si>
    <t>37x01: Appearances Are Deceiving</t>
  </si>
  <si>
    <t>Domenick</t>
  </si>
  <si>
    <t>36x01: Can You Reverse the Curse? (Pt. 1)</t>
  </si>
  <si>
    <t>36x02: Can You Reverse the Curse? (Pt. 2)</t>
  </si>
  <si>
    <t>36x08: Fear Keeps You Sharp</t>
  </si>
  <si>
    <t>36x11: The Finish Line Is in Sight</t>
  </si>
  <si>
    <t>36x13: Always Be Moving</t>
  </si>
  <si>
    <t>36x14: It Is Game Time Kids</t>
  </si>
  <si>
    <t>Kellyn</t>
  </si>
  <si>
    <t>36x04: Trust Your Gut</t>
  </si>
  <si>
    <t>36x07: Gotta Risk It for the Biscuit</t>
  </si>
  <si>
    <t>Chelsea</t>
  </si>
  <si>
    <t>36x12: A Giant Game of Bumper Cars</t>
  </si>
  <si>
    <t>Chris</t>
  </si>
  <si>
    <t>36x05: A Diamond in the Rough</t>
  </si>
  <si>
    <t>Desiree</t>
  </si>
  <si>
    <t>36x06: Fate is the Homie</t>
  </si>
  <si>
    <t>Morgan</t>
  </si>
  <si>
    <t>36x03: Only Time Will Tell</t>
  </si>
  <si>
    <t>36x10: It's Like the Perfect Crime</t>
  </si>
  <si>
    <t>Sebastian</t>
  </si>
  <si>
    <t>36x09: The Sea Slug Slugger</t>
  </si>
  <si>
    <t>35x05: The Past Will Eat You Alive</t>
  </si>
  <si>
    <t>35x07: Get to Gettin'</t>
  </si>
  <si>
    <t>35x09: Fear of the Unknown</t>
  </si>
  <si>
    <t>35x14: Million Dollar Night</t>
  </si>
  <si>
    <t>Devon</t>
  </si>
  <si>
    <t>35x04: I Don't Like Having Snakes Around</t>
  </si>
  <si>
    <t>35x13: The Survivor Devil</t>
  </si>
  <si>
    <t>Joe</t>
  </si>
  <si>
    <t>35x06: This Is Why You Play Survivor</t>
  </si>
  <si>
    <t>35x08: Playing with the Devil</t>
  </si>
  <si>
    <t>Ryan</t>
  </si>
  <si>
    <t>35x10: Buy One, Get One Free (Pt. 1)</t>
  </si>
  <si>
    <t>35x11: Buy One, Get One Free (Pt. 2)</t>
  </si>
  <si>
    <t>Alan</t>
  </si>
  <si>
    <t>35x01: I'm Not Crazy, I'm Confident</t>
  </si>
  <si>
    <t>Chrissy</t>
  </si>
  <si>
    <t>35x12: Not Going to Roll Over and Die</t>
  </si>
  <si>
    <t>Jessica</t>
  </si>
  <si>
    <t>35x03: My Kisses Are Very Private</t>
  </si>
  <si>
    <t>Patrick</t>
  </si>
  <si>
    <t>35x02: I'm a Wild Banshee</t>
  </si>
  <si>
    <t>Debbie</t>
  </si>
  <si>
    <t>34x06: Vote Early, Vote Often</t>
  </si>
  <si>
    <t>34x07: What Happened on Exile, Stays on Exile</t>
  </si>
  <si>
    <t>34x10: A Line Drawn in Concrete</t>
  </si>
  <si>
    <t>Andrea</t>
  </si>
  <si>
    <t>34x01: The Stakes Have Been Raised (Pt. 1)</t>
  </si>
  <si>
    <t>34x02: The Stakes Have Been Raised (Pt. 2)</t>
  </si>
  <si>
    <t>Sierra</t>
  </si>
  <si>
    <t>34x08: There's a New Sheriff in Town (Pt. 1)</t>
  </si>
  <si>
    <t>34x09: There's a New Sheriff in Town (Pt. 2)</t>
  </si>
  <si>
    <t>Brad</t>
  </si>
  <si>
    <t>34x13: Parting Is Such Sweet Sorrow</t>
  </si>
  <si>
    <t>Cirie</t>
  </si>
  <si>
    <t>34x14: No Good Deed Goes Unpunished</t>
  </si>
  <si>
    <t>Hali</t>
  </si>
  <si>
    <t>34x04: The Tables Have Turned</t>
  </si>
  <si>
    <t>Malcolm</t>
  </si>
  <si>
    <t>34x03: Survivor Jackpot</t>
  </si>
  <si>
    <t>34x05: Dirty Deed</t>
  </si>
  <si>
    <t>Zeke</t>
  </si>
  <si>
    <t>34x11: Reinventing How This Game Is Played</t>
  </si>
  <si>
    <t>34x12: It Is Not a High Without a Low</t>
  </si>
  <si>
    <t>Jay</t>
  </si>
  <si>
    <t>33x08: I'm the Kingpin</t>
  </si>
  <si>
    <t>33x09: Still Throwin' Punches</t>
  </si>
  <si>
    <t>33x10: Million Dollar Gamble (Pt.1)</t>
  </si>
  <si>
    <t>33x11: Million Dollar Gamble (Pt.2)</t>
  </si>
  <si>
    <t>33x14: I'm Going for a Million Bucks</t>
  </si>
  <si>
    <t>Taylor</t>
  </si>
  <si>
    <t>33x02: Love Goggles</t>
  </si>
  <si>
    <t>33x07: I Will Destroy You</t>
  </si>
  <si>
    <t>Will</t>
  </si>
  <si>
    <t>33x01: May the Best Generation Win</t>
  </si>
  <si>
    <t>33x12: About to Have a Rumble</t>
  </si>
  <si>
    <t>CeCe</t>
  </si>
  <si>
    <t>33x05: Idol Search Party</t>
  </si>
  <si>
    <t>33x04: Who's the Sucker at the Table?</t>
  </si>
  <si>
    <t>Michaela</t>
  </si>
  <si>
    <t>33x03: Your Job Is Recon</t>
  </si>
  <si>
    <t>Michelle</t>
  </si>
  <si>
    <t>33x06: The Truth Works Well</t>
  </si>
  <si>
    <t>None</t>
  </si>
  <si>
    <t>33x13: Slayed the Survivor Dragon</t>
  </si>
  <si>
    <t>Jason</t>
  </si>
  <si>
    <t>32x04: Signed, Sealed and Delivered</t>
  </si>
  <si>
    <t>32x07: It's Merge Time</t>
  </si>
  <si>
    <t>32x09: It's Psychological Warfare</t>
  </si>
  <si>
    <t>32x12: Now's the Time to Start Scheming</t>
  </si>
  <si>
    <t>Tai</t>
  </si>
  <si>
    <t>32x03: The Circle of Life</t>
  </si>
  <si>
    <t>32x10: I'm Not Here to Make Good Friends</t>
  </si>
  <si>
    <t>32x13: With Me or Not With Me</t>
  </si>
  <si>
    <t>Aubry</t>
  </si>
  <si>
    <t>32x05: The Devils We Know</t>
  </si>
  <si>
    <t>32x08: The Jocks vs. The Pretty People</t>
  </si>
  <si>
    <t>32x14: Not Going Down Without a Fight</t>
  </si>
  <si>
    <t>Alecia</t>
  </si>
  <si>
    <t>32x01: I'm a Mental Giant</t>
  </si>
  <si>
    <t>32x02: Kindergarten Camp</t>
  </si>
  <si>
    <t>32x06: Play or Go Home</t>
  </si>
  <si>
    <t>Cydney</t>
  </si>
  <si>
    <t>32x11: It's a 'Me' Game, Not a 'We' Game</t>
  </si>
  <si>
    <t>Spencer</t>
  </si>
  <si>
    <t>31x06: Bunking with the Devil</t>
  </si>
  <si>
    <t>31x10: Like Selling Your Soul to the Devil</t>
  </si>
  <si>
    <t>31x12: Tiny Little Shanks to the Heart</t>
  </si>
  <si>
    <t>Tasha</t>
  </si>
  <si>
    <t>31x03: We Got a Rat</t>
  </si>
  <si>
    <t>31x04: What's the Beef?</t>
  </si>
  <si>
    <t>Kimmi</t>
  </si>
  <si>
    <t>31x05: A Snake In the Grass</t>
  </si>
  <si>
    <t>31x09: Witches Coven</t>
  </si>
  <si>
    <t>Keith</t>
  </si>
  <si>
    <t>31x08: You Call, We'll Haul</t>
  </si>
  <si>
    <t>31x14: Lie, Cheat and Steal</t>
  </si>
  <si>
    <t>Jeff Probst</t>
  </si>
  <si>
    <t>31x01: Second Chance</t>
  </si>
  <si>
    <t>Stephen</t>
  </si>
  <si>
    <t>31x02: Survivor MacGyver</t>
  </si>
  <si>
    <t>Ciera</t>
  </si>
  <si>
    <t>31x07: Play to Win</t>
  </si>
  <si>
    <t>Kelley</t>
  </si>
  <si>
    <t>31x11: My Wheels Are Spinning</t>
  </si>
  <si>
    <t>Abi-Maria</t>
  </si>
  <si>
    <t>31x13: Villains Have More Fun</t>
  </si>
  <si>
    <t>Carolyn</t>
  </si>
  <si>
    <t>30x01: It's Survivor Warfare</t>
  </si>
  <si>
    <t>30x07: The Line Will Be Drawn Tonight</t>
  </si>
  <si>
    <t>30x11: Survivor Russian Roulette</t>
  </si>
  <si>
    <t>30x12: Holding On for Dear Life</t>
  </si>
  <si>
    <t>Nina</t>
  </si>
  <si>
    <t>30x02: It Will Be My Revenge</t>
  </si>
  <si>
    <t>Tyler</t>
  </si>
  <si>
    <t>30x03: Crazy Is as Crazy Does</t>
  </si>
  <si>
    <t>Jenn</t>
  </si>
  <si>
    <t>30x04: Winner Winner, Chicken Dinner</t>
  </si>
  <si>
    <t>Max</t>
  </si>
  <si>
    <t>30x05: We're Finally Playing Some Survivor</t>
  </si>
  <si>
    <t>Joaquin</t>
  </si>
  <si>
    <t>30x06: Odd Woman Out</t>
  </si>
  <si>
    <t>Rodney</t>
  </si>
  <si>
    <t>30x08: Keep It Real</t>
  </si>
  <si>
    <t>30x09: Livin' on the Edge</t>
  </si>
  <si>
    <t>30x10: Bring the Popcorn</t>
  </si>
  <si>
    <t>Dan</t>
  </si>
  <si>
    <t>30x13: My Word Is My Bond</t>
  </si>
  <si>
    <t>Mike</t>
  </si>
  <si>
    <t>30x14: It's a Fickle, Fickle Game</t>
  </si>
  <si>
    <t>Missy</t>
  </si>
  <si>
    <t>29x05: Blood Is Blood</t>
  </si>
  <si>
    <t>29x08: Wrinkle in the Plan</t>
  </si>
  <si>
    <t>29x14: This Is My Time</t>
  </si>
  <si>
    <t>Josh</t>
  </si>
  <si>
    <t>29x01: Suck It Up and Survive</t>
  </si>
  <si>
    <t>29x02: Method to This Madness</t>
  </si>
  <si>
    <t>Alec</t>
  </si>
  <si>
    <t>29x11: Kind of Like Cream Cheese</t>
  </si>
  <si>
    <t>29x12: Still Holdin' On</t>
  </si>
  <si>
    <t>John</t>
  </si>
  <si>
    <t>29x03: Actions vs. Accusations</t>
  </si>
  <si>
    <t>29x04: We're a Hot Mess</t>
  </si>
  <si>
    <t>29x06: Make Some Magic Happen</t>
  </si>
  <si>
    <t>Jaclyn</t>
  </si>
  <si>
    <t>29x07: Million Dollar Decision</t>
  </si>
  <si>
    <t>29x09: Gettin' to Crunch Time</t>
  </si>
  <si>
    <t>Jon</t>
  </si>
  <si>
    <t>29x10: This Is Where We Build Trust</t>
  </si>
  <si>
    <t>Baylor</t>
  </si>
  <si>
    <t>29x13: Let's Make a Move</t>
  </si>
  <si>
    <t>28x03: Cops-R-Us</t>
  </si>
  <si>
    <t>28x07: Head of the Snake</t>
  </si>
  <si>
    <t>28x08: Mad Treasure Hunt</t>
  </si>
  <si>
    <t>28x09: Bag of Tricks</t>
  </si>
  <si>
    <t>28x10: Sitting in My Spy Shack</t>
  </si>
  <si>
    <t>28x11: Chaos Is My Friend</t>
  </si>
  <si>
    <t>28x13: Straw That Broke the Camel's Back</t>
  </si>
  <si>
    <t>LJ</t>
  </si>
  <si>
    <t>28x01: Hot Girl with a Grudge Pt. 1</t>
  </si>
  <si>
    <t>28x02: Hot Girl with a Grudge Pt. 2</t>
  </si>
  <si>
    <t>28x05: Odd One Out</t>
  </si>
  <si>
    <t>Kass</t>
  </si>
  <si>
    <t>28x06: We Found Our Zombies</t>
  </si>
  <si>
    <t>28x12: Havoc to Wreak</t>
  </si>
  <si>
    <t>28x14: It's Do or Die</t>
  </si>
  <si>
    <t>Woo</t>
  </si>
  <si>
    <t>28x04: Our Time to Shine</t>
  </si>
  <si>
    <t>Hayden</t>
  </si>
  <si>
    <t>27x03: Opening Pandora's Box</t>
  </si>
  <si>
    <t>27x04: One Armed Dude and Three Moms</t>
  </si>
  <si>
    <t>Tyson</t>
  </si>
  <si>
    <t>27x06: One-Man Wrecking Ball</t>
  </si>
  <si>
    <t>27x10: Big Bad Wolf</t>
  </si>
  <si>
    <t>Vytas</t>
  </si>
  <si>
    <t>27x08: Skin of My Teeth</t>
  </si>
  <si>
    <t>27x09: My Brother's Keeper</t>
  </si>
  <si>
    <t>Rupert</t>
  </si>
  <si>
    <t>27x01: Blood Is Thicker Than Anything</t>
  </si>
  <si>
    <t>Colton</t>
  </si>
  <si>
    <t>27x02: Rule in Chaos</t>
  </si>
  <si>
    <t>27x05: The Dead Can Still Talk</t>
  </si>
  <si>
    <t>Kat</t>
  </si>
  <si>
    <t>27x07: Swoop In For the Kill</t>
  </si>
  <si>
    <t>Gervase</t>
  </si>
  <si>
    <t>27x11: Gloves Come Off</t>
  </si>
  <si>
    <t>Katie</t>
  </si>
  <si>
    <t>27x12: Rustle Feathers</t>
  </si>
  <si>
    <t>27x13: Out On a Limb</t>
  </si>
  <si>
    <t>Monica</t>
  </si>
  <si>
    <t>27x14: It's My Night</t>
  </si>
  <si>
    <t>Phillip</t>
  </si>
  <si>
    <t>26x01: She Annoys Me Greatly</t>
  </si>
  <si>
    <t>26x05: Persona Non Grata</t>
  </si>
  <si>
    <t>26x06: Operation Thunder Dome</t>
  </si>
  <si>
    <t>Cochran</t>
  </si>
  <si>
    <t>26x10: Zipping Over the Cuckoo's Nest</t>
  </si>
  <si>
    <t>26x12: The Beginning of the End</t>
  </si>
  <si>
    <t>26x13: Don't Say Anything About My Mom</t>
  </si>
  <si>
    <t>Brandon</t>
  </si>
  <si>
    <t>26x02: Honey Badger</t>
  </si>
  <si>
    <t>26x03: There's Gonna Be Hell to Pay</t>
  </si>
  <si>
    <t>Corinne</t>
  </si>
  <si>
    <t>26x07: Tubby Lunchbox</t>
  </si>
  <si>
    <t>26x08: Blindside Time</t>
  </si>
  <si>
    <t>26x09: Cut Off the Head of the Snake</t>
  </si>
  <si>
    <t>26x11: Come Over to the Dark Side</t>
  </si>
  <si>
    <t>Eddie</t>
  </si>
  <si>
    <t>26x04: Kill or Be Killed</t>
  </si>
  <si>
    <t>26x14: Last Push</t>
  </si>
  <si>
    <t>Denise</t>
  </si>
  <si>
    <t>25x02: Don't Be Blinded By the Headlights</t>
  </si>
  <si>
    <t>25x10: Whiners Are Wieners</t>
  </si>
  <si>
    <t>25x13: Gouge My Eyes Out</t>
  </si>
  <si>
    <t>Lisa</t>
  </si>
  <si>
    <t>25x07: Not the Only Actor on This Island</t>
  </si>
  <si>
    <t>25x09: Little Miss Perfect</t>
  </si>
  <si>
    <t>25x12: Shot Into Smithereens</t>
  </si>
  <si>
    <t>Jeff</t>
  </si>
  <si>
    <t>25x03: This Isn't a 'We' Game</t>
  </si>
  <si>
    <t>25x08: Dead Man Walking</t>
  </si>
  <si>
    <t>25x05: Got My Swag Back</t>
  </si>
  <si>
    <t>25x11: Hell Hath Frozen Over</t>
  </si>
  <si>
    <t>Russell</t>
  </si>
  <si>
    <t>25x01: Survivor Smacked Me in the Chops</t>
  </si>
  <si>
    <t>Pete</t>
  </si>
  <si>
    <t>25x04: Create a Little Chaos</t>
  </si>
  <si>
    <t>25x06: Down and Dirty</t>
  </si>
  <si>
    <t>Michael</t>
  </si>
  <si>
    <t>25x14: Million Dollar Question</t>
  </si>
  <si>
    <t>Kim</t>
  </si>
  <si>
    <t>24x07: The Beauty in a Merge</t>
  </si>
  <si>
    <t>24x08: Just Annihilate Them</t>
  </si>
  <si>
    <t>24x12: It's Gonna Be Chaos</t>
  </si>
  <si>
    <t>24x01: Two Tribes, One Camp, No Rules</t>
  </si>
  <si>
    <t>24x02: Total Dysfunction</t>
  </si>
  <si>
    <t>24x05: A Bunch of Idiots</t>
  </si>
  <si>
    <t>24x06: Thanks For the Souvenir</t>
  </si>
  <si>
    <t>Sabrina</t>
  </si>
  <si>
    <t>24x09: Go Out With a Bang</t>
  </si>
  <si>
    <t>24x14: Perception Is Not Always Reality</t>
  </si>
  <si>
    <t>Bill</t>
  </si>
  <si>
    <t>24x03: One World Is Out the Window</t>
  </si>
  <si>
    <t>24x04: Bum-Puzzled</t>
  </si>
  <si>
    <t>Alicia</t>
  </si>
  <si>
    <t>24x10: I'm No Dummy</t>
  </si>
  <si>
    <t>Troyzan</t>
  </si>
  <si>
    <t>24x11: Never Say Die</t>
  </si>
  <si>
    <t>Tarzan</t>
  </si>
  <si>
    <t>24x13: It's Human Nature</t>
  </si>
  <si>
    <t>Coach</t>
  </si>
  <si>
    <t>23x02: He Has Demons</t>
  </si>
  <si>
    <t>23x05: Taste the Victory</t>
  </si>
  <si>
    <t>23x13: Ticking Time Bomb</t>
  </si>
  <si>
    <t>23x14: Then There Were Five</t>
  </si>
  <si>
    <t>23x15: Loyalties Will Be Broken</t>
  </si>
  <si>
    <t>Ozzy</t>
  </si>
  <si>
    <t>23x01: I Need Redemption</t>
  </si>
  <si>
    <t>23x04: Survivalism</t>
  </si>
  <si>
    <t>23x06: Free Agent</t>
  </si>
  <si>
    <t>23x09: Cut Throat</t>
  </si>
  <si>
    <t>23x07: Trojan Horse</t>
  </si>
  <si>
    <t>23x08: Double Agent</t>
  </si>
  <si>
    <t>23x12: Cult Like</t>
  </si>
  <si>
    <t>23x03: Reap What You Sow</t>
  </si>
  <si>
    <t>Whitney</t>
  </si>
  <si>
    <t>23x10: Running the Show</t>
  </si>
  <si>
    <t>22x04: Don't You Work For Me?</t>
  </si>
  <si>
    <t>22x09: The Buddy System</t>
  </si>
  <si>
    <t>22x10: Rice Wars</t>
  </si>
  <si>
    <t>22x13: Too Close For Comfort</t>
  </si>
  <si>
    <t>22x14: Seems Like a No Brainer</t>
  </si>
  <si>
    <t>22x01: You're Looking at the New Leader of Our Tribe</t>
  </si>
  <si>
    <t>22x02: You Own My Vote</t>
  </si>
  <si>
    <t>22x06: Their Red-Headed Stepchild</t>
  </si>
  <si>
    <t>22x12: You Mangled My Nets</t>
  </si>
  <si>
    <t>22x03: Keep Hope Alive</t>
  </si>
  <si>
    <t>Stephanie</t>
  </si>
  <si>
    <t>22x05: We Hate Our Tribe</t>
  </si>
  <si>
    <t>Ralph</t>
  </si>
  <si>
    <t>22x07: It Don't Take a Smart One</t>
  </si>
  <si>
    <t>Matt</t>
  </si>
  <si>
    <t>22x08: This Game Respects Big Moves</t>
  </si>
  <si>
    <t>Grant</t>
  </si>
  <si>
    <t>22x11: A Mystery Package</t>
  </si>
  <si>
    <t>Jimmy J.</t>
  </si>
  <si>
    <t>21x01: Young at Heart</t>
  </si>
  <si>
    <t>21x02: Fatigue Makes Cowards of Us All</t>
  </si>
  <si>
    <t>Marty</t>
  </si>
  <si>
    <t>21x03: Glitter in Their Eyes</t>
  </si>
  <si>
    <t>21x04: Pulling the Trigger</t>
  </si>
  <si>
    <t>Alina</t>
  </si>
  <si>
    <t>21x05: Turf Wars</t>
  </si>
  <si>
    <t>21x08: Company Will Be Arriving Soon</t>
  </si>
  <si>
    <t>Brenda</t>
  </si>
  <si>
    <t>21x06: Worst Case Scenario</t>
  </si>
  <si>
    <t>21x09: Running the Camp</t>
  </si>
  <si>
    <t>Chase</t>
  </si>
  <si>
    <t>21x10: Stuck in the Middle</t>
  </si>
  <si>
    <t>21x14: This Is Going to Hurt</t>
  </si>
  <si>
    <t>Jane</t>
  </si>
  <si>
    <t>21x07: What Goes Around, Comes Around</t>
  </si>
  <si>
    <t>Holly</t>
  </si>
  <si>
    <t>21x12: You Started, You're Finishing</t>
  </si>
  <si>
    <t>Benry</t>
  </si>
  <si>
    <t>21x13: Not Sure Where I Stand</t>
  </si>
  <si>
    <t>21x15: What About Me?</t>
  </si>
  <si>
    <t>20x01: Slay Everyone, Trust No One</t>
  </si>
  <si>
    <t>Russell H.</t>
  </si>
  <si>
    <t>19x01: The Puppet Master</t>
  </si>
  <si>
    <t>18x01: Let's Get Rid of the Weak Players Before We Even Start</t>
  </si>
  <si>
    <t>Gillian</t>
  </si>
  <si>
    <t>17x01: Want to See the Elephant Dung? (Pt. 1)</t>
  </si>
  <si>
    <t>17x02: Want to See the Elephant Dung? (Pt. 2)</t>
  </si>
  <si>
    <t>Jonny Fairplay</t>
  </si>
  <si>
    <t>16x01: You Guys Are Dumber Than You Look</t>
  </si>
  <si>
    <t>15x01: A Chicken's a Little Bit Smarter</t>
  </si>
  <si>
    <t>Alex</t>
  </si>
  <si>
    <t>14x01: Something Cruel Is About to Happen... Real Soon</t>
  </si>
  <si>
    <t>Jonathan</t>
  </si>
  <si>
    <t>13x01: I Can Forgive Her, But I Don't Have to Because She Screwed with My Chickens</t>
  </si>
  <si>
    <t>Remaining Seasons</t>
  </si>
  <si>
    <t>2nd Runer-Up</t>
  </si>
  <si>
    <t>1st Runer-Up</t>
  </si>
  <si>
    <t>19 of 19</t>
  </si>
  <si>
    <t>18 of 19</t>
  </si>
  <si>
    <t>17 of 19</t>
  </si>
  <si>
    <t>13 of 19</t>
  </si>
  <si>
    <t>12 of 19</t>
  </si>
  <si>
    <t>4 of 19</t>
  </si>
  <si>
    <t>2 of 19 (T)</t>
  </si>
  <si>
    <t>1 of 19</t>
  </si>
  <si>
    <t>Pat Cusack</t>
  </si>
  <si>
    <t>6 o 20</t>
  </si>
  <si>
    <t>3-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</si>
</sst>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41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1155CC"/>
    </font>
    <font>
      <u/>
      <color rgb="FF0000FF"/>
    </font>
    <font>
      <color rgb="FF000000"/>
    </font>
    <font>
      <u/>
      <color rgb="FF1155CC"/>
      <name val="Arial"/>
    </font>
    <font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1" numFmtId="2" xfId="0" applyAlignment="1" applyBorder="1" applyFont="1" applyNumberFormat="1">
      <alignment horizontal="center" readingOrder="0"/>
    </xf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6" fillId="0" fontId="2" numFmtId="2" xfId="0" applyAlignment="1" applyBorder="1" applyFont="1" applyNumberFormat="1">
      <alignment horizontal="center" readingOrder="0"/>
    </xf>
    <xf borderId="6" fillId="0" fontId="2" numFmtId="10" xfId="0" applyAlignment="1" applyBorder="1" applyFont="1" applyNumberFormat="1">
      <alignment horizontal="center" readingOrder="0"/>
    </xf>
    <xf borderId="6" fillId="3" fontId="2" numFmtId="0" xfId="0" applyAlignment="1" applyBorder="1" applyFill="1" applyFont="1">
      <alignment horizontal="center" readingOrder="0"/>
    </xf>
    <xf borderId="6" fillId="0" fontId="2" numFmtId="10" xfId="0" applyAlignment="1" applyBorder="1" applyFont="1" applyNumberFormat="1">
      <alignment horizontal="center" readingOrder="0" vertical="bottom"/>
    </xf>
    <xf borderId="6" fillId="3" fontId="4" numFmtId="0" xfId="0" applyAlignment="1" applyBorder="1" applyFont="1">
      <alignment readingOrder="0"/>
    </xf>
    <xf borderId="6" fillId="3" fontId="2" numFmtId="2" xfId="0" applyAlignment="1" applyBorder="1" applyFont="1" applyNumberFormat="1">
      <alignment horizontal="center" readingOrder="0"/>
    </xf>
    <xf borderId="6" fillId="3" fontId="2" numFmtId="10" xfId="0" applyAlignment="1" applyBorder="1" applyFont="1" applyNumberFormat="1">
      <alignment horizontal="center" readingOrder="0"/>
    </xf>
    <xf borderId="6" fillId="3" fontId="5" numFmtId="0" xfId="0" applyAlignment="1" applyBorder="1" applyFont="1">
      <alignment readingOrder="0"/>
    </xf>
    <xf borderId="6" fillId="0" fontId="6" numFmtId="0" xfId="0" applyBorder="1" applyFont="1"/>
    <xf borderId="6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bottom"/>
    </xf>
    <xf borderId="6" fillId="0" fontId="2" numFmtId="2" xfId="0" applyAlignment="1" applyBorder="1" applyFont="1" applyNumberFormat="1">
      <alignment horizontal="center" readingOrder="0" vertical="bottom"/>
    </xf>
    <xf borderId="6" fillId="3" fontId="7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/>
    </xf>
    <xf borderId="6" fillId="3" fontId="2" numFmtId="164" xfId="0" applyAlignment="1" applyBorder="1" applyFont="1" applyNumberFormat="1">
      <alignment horizontal="center" readingOrder="0"/>
    </xf>
    <xf borderId="6" fillId="0" fontId="2" numFmtId="2" xfId="0" applyAlignment="1" applyBorder="1" applyFont="1" applyNumberFormat="1">
      <alignment horizontal="center" vertical="bottom"/>
    </xf>
    <xf borderId="6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6" fillId="3" fontId="8" numFmtId="0" xfId="0" applyAlignment="1" applyBorder="1" applyFont="1">
      <alignment vertical="bottom"/>
    </xf>
    <xf borderId="6" fillId="3" fontId="9" numFmtId="0" xfId="0" applyAlignment="1" applyBorder="1" applyFont="1">
      <alignment horizontal="center" vertical="bottom"/>
    </xf>
    <xf borderId="6" fillId="3" fontId="9" numFmtId="2" xfId="0" applyAlignment="1" applyBorder="1" applyFont="1" applyNumberFormat="1">
      <alignment horizontal="center" vertical="bottom"/>
    </xf>
    <xf borderId="6" fillId="3" fontId="9" numFmtId="10" xfId="0" applyAlignment="1" applyBorder="1" applyFont="1" applyNumberFormat="1">
      <alignment horizontal="center" vertical="bottom"/>
    </xf>
    <xf borderId="6" fillId="0" fontId="9" numFmtId="0" xfId="0" applyAlignment="1" applyBorder="1" applyFont="1">
      <alignment horizontal="center" vertical="bottom"/>
    </xf>
    <xf borderId="5" fillId="0" fontId="10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0" fontId="2" numFmtId="2" xfId="0" applyAlignment="1" applyBorder="1" applyFont="1" applyNumberFormat="1">
      <alignment horizontal="center" readingOrder="0"/>
    </xf>
    <xf borderId="7" fillId="0" fontId="2" numFmtId="10" xfId="0" applyAlignment="1" applyBorder="1" applyFont="1" applyNumberFormat="1">
      <alignment horizontal="center" readingOrder="0"/>
    </xf>
    <xf borderId="7" fillId="3" fontId="2" numFmtId="0" xfId="0" applyAlignment="1" applyBorder="1" applyFont="1">
      <alignment horizontal="center" readingOrder="0"/>
    </xf>
    <xf borderId="6" fillId="0" fontId="11" numFmtId="0" xfId="0" applyAlignment="1" applyBorder="1" applyFont="1">
      <alignment vertical="bottom"/>
    </xf>
    <xf borderId="6" fillId="0" fontId="9" numFmtId="2" xfId="0" applyAlignment="1" applyBorder="1" applyFont="1" applyNumberFormat="1">
      <alignment horizontal="center" vertical="bottom"/>
    </xf>
    <xf borderId="6" fillId="0" fontId="9" numFmtId="10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horizontal="center" readingOrder="0"/>
    </xf>
    <xf borderId="3" fillId="0" fontId="2" numFmtId="10" xfId="0" applyAlignment="1" applyBorder="1" applyFont="1" applyNumberFormat="1">
      <alignment horizontal="center" readingOrder="0"/>
    </xf>
    <xf borderId="3" fillId="3" fontId="2" numFmtId="0" xfId="0" applyAlignment="1" applyBorder="1" applyFont="1">
      <alignment horizontal="center" readingOrder="0"/>
    </xf>
    <xf borderId="5" fillId="0" fontId="12" numFmtId="0" xfId="0" applyAlignment="1" applyBorder="1" applyFont="1">
      <alignment vertical="bottom"/>
    </xf>
    <xf borderId="7" fillId="0" fontId="9" numFmtId="0" xfId="0" applyAlignment="1" applyBorder="1" applyFont="1">
      <alignment horizontal="center" vertical="bottom"/>
    </xf>
    <xf borderId="7" fillId="0" fontId="9" numFmtId="2" xfId="0" applyAlignment="1" applyBorder="1" applyFont="1" applyNumberFormat="1">
      <alignment horizontal="center" vertical="bottom"/>
    </xf>
    <xf borderId="7" fillId="0" fontId="9" numFmtId="10" xfId="0" applyAlignment="1" applyBorder="1" applyFont="1" applyNumberFormat="1">
      <alignment horizontal="center" vertical="bottom"/>
    </xf>
    <xf borderId="7" fillId="3" fontId="9" numFmtId="0" xfId="0" applyAlignment="1" applyBorder="1" applyFont="1">
      <alignment horizontal="center" vertical="bottom"/>
    </xf>
    <xf borderId="5" fillId="3" fontId="13" numFmtId="0" xfId="0" applyAlignment="1" applyBorder="1" applyFont="1">
      <alignment readingOrder="0"/>
    </xf>
    <xf borderId="7" fillId="3" fontId="2" numFmtId="2" xfId="0" applyAlignment="1" applyBorder="1" applyFont="1" applyNumberFormat="1">
      <alignment horizontal="center" readingOrder="0"/>
    </xf>
    <xf borderId="7" fillId="3" fontId="2" numFmtId="10" xfId="0" applyAlignment="1" applyBorder="1" applyFont="1" applyNumberFormat="1">
      <alignment horizontal="center" readingOrder="0"/>
    </xf>
    <xf borderId="7" fillId="3" fontId="9" numFmtId="10" xfId="0" applyAlignment="1" applyBorder="1" applyFont="1" applyNumberFormat="1">
      <alignment horizontal="center" vertical="bottom"/>
    </xf>
    <xf borderId="7" fillId="0" fontId="9" numFmtId="0" xfId="0" applyAlignment="1" applyBorder="1" applyFont="1">
      <alignment vertical="bottom"/>
    </xf>
    <xf borderId="5" fillId="0" fontId="14" numFmtId="0" xfId="0" applyBorder="1" applyFont="1"/>
    <xf borderId="7" fillId="0" fontId="2" numFmtId="0" xfId="0" applyAlignment="1" applyBorder="1" applyFont="1">
      <alignment horizontal="center" vertical="bottom"/>
    </xf>
    <xf borderId="7" fillId="0" fontId="2" numFmtId="2" xfId="0" applyAlignment="1" applyBorder="1" applyFont="1" applyNumberFormat="1">
      <alignment horizontal="center" vertical="bottom"/>
    </xf>
    <xf borderId="7" fillId="0" fontId="2" numFmtId="10" xfId="0" applyAlignment="1" applyBorder="1" applyFont="1" applyNumberFormat="1">
      <alignment horizontal="center" readingOrder="0" vertical="bottom"/>
    </xf>
    <xf borderId="7" fillId="0" fontId="2" numFmtId="0" xfId="0" applyAlignment="1" applyBorder="1" applyFont="1">
      <alignment horizontal="center" readingOrder="0" vertical="bottom"/>
    </xf>
    <xf borderId="3" fillId="3" fontId="2" numFmtId="2" xfId="0" applyAlignment="1" applyBorder="1" applyFont="1" applyNumberFormat="1">
      <alignment horizontal="center" readingOrder="0"/>
    </xf>
    <xf borderId="3" fillId="3" fontId="2" numFmtId="10" xfId="0" applyAlignment="1" applyBorder="1" applyFont="1" applyNumberFormat="1">
      <alignment horizontal="center" readingOrder="0"/>
    </xf>
    <xf borderId="7" fillId="3" fontId="7" numFmtId="0" xfId="0" applyAlignment="1" applyBorder="1" applyFont="1">
      <alignment horizontal="center" readingOrder="0"/>
    </xf>
    <xf borderId="6" fillId="0" fontId="9" numFmtId="0" xfId="0" applyAlignment="1" applyBorder="1" applyFont="1">
      <alignment vertical="bottom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6" fillId="2" fontId="1" numFmtId="0" xfId="0" applyAlignment="1" applyBorder="1" applyFont="1">
      <alignment readingOrder="0"/>
    </xf>
    <xf borderId="6" fillId="2" fontId="1" numFmtId="49" xfId="0" applyAlignment="1" applyBorder="1" applyFont="1" applyNumberFormat="1">
      <alignment horizontal="center" readingOrder="0"/>
    </xf>
    <xf borderId="6" fillId="4" fontId="2" numFmtId="0" xfId="0" applyAlignment="1" applyBorder="1" applyFont="1">
      <alignment readingOrder="0"/>
    </xf>
    <xf borderId="6" fillId="4" fontId="2" numFmtId="0" xfId="0" applyAlignment="1" applyBorder="1" applyFont="1">
      <alignment horizontal="center" readingOrder="0"/>
    </xf>
    <xf borderId="6" fillId="4" fontId="2" numFmtId="49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readingOrder="0"/>
    </xf>
    <xf borderId="6" fillId="0" fontId="2" numFmtId="49" xfId="0" applyAlignment="1" applyBorder="1" applyFont="1" applyNumberFormat="1">
      <alignment horizontal="center" readingOrder="0"/>
    </xf>
    <xf borderId="6" fillId="3" fontId="2" numFmtId="0" xfId="0" applyAlignment="1" applyBorder="1" applyFont="1">
      <alignment readingOrder="0"/>
    </xf>
    <xf borderId="6" fillId="3" fontId="2" numFmtId="49" xfId="0" applyAlignment="1" applyBorder="1" applyFont="1" applyNumberFormat="1">
      <alignment horizontal="center"/>
    </xf>
    <xf borderId="6" fillId="5" fontId="2" numFmtId="0" xfId="0" applyAlignment="1" applyBorder="1" applyFont="1">
      <alignment readingOrder="0"/>
    </xf>
    <xf borderId="6" fillId="5" fontId="2" numFmtId="0" xfId="0" applyAlignment="1" applyBorder="1" applyFont="1">
      <alignment horizontal="center" readingOrder="0"/>
    </xf>
    <xf borderId="6" fillId="5" fontId="2" numFmtId="49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4" fillId="0" fontId="15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6" fillId="0" fontId="16" numFmtId="0" xfId="0" applyAlignment="1" applyBorder="1" applyFont="1">
      <alignment horizontal="center" readingOrder="0"/>
    </xf>
    <xf borderId="6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horizontal="center" readingOrder="0" vertical="center"/>
    </xf>
    <xf borderId="4" fillId="0" fontId="17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 vertical="center"/>
    </xf>
    <xf borderId="4" fillId="0" fontId="2" numFmtId="0" xfId="0" applyBorder="1" applyFont="1"/>
    <xf borderId="11" fillId="0" fontId="2" numFmtId="0" xfId="0" applyBorder="1" applyFont="1"/>
    <xf borderId="5" fillId="0" fontId="18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 readingOrder="0"/>
    </xf>
    <xf borderId="7" fillId="0" fontId="2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vertical="center"/>
    </xf>
    <xf borderId="12" fillId="0" fontId="2" numFmtId="0" xfId="0" applyBorder="1" applyFont="1"/>
    <xf borderId="1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8" fillId="0" fontId="19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2" fillId="0" fontId="20" numFmtId="0" xfId="0" applyAlignment="1" applyBorder="1" applyFont="1">
      <alignment horizontal="center" readingOrder="0"/>
    </xf>
    <xf borderId="1" fillId="0" fontId="2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4" fillId="0" fontId="2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0" fillId="0" fontId="2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5" fillId="0" fontId="24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vertical="center"/>
    </xf>
    <xf borderId="8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vertical="center"/>
    </xf>
    <xf borderId="6" fillId="0" fontId="25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vertical="center"/>
    </xf>
    <xf borderId="13" fillId="0" fontId="2" numFmtId="0" xfId="0" applyBorder="1" applyFont="1"/>
    <xf borderId="14" fillId="0" fontId="2" numFmtId="0" xfId="0" applyAlignment="1" applyBorder="1" applyFont="1">
      <alignment horizontal="center" readingOrder="0" vertical="center"/>
    </xf>
    <xf borderId="6" fillId="0" fontId="26" numFmtId="0" xfId="0" applyAlignment="1" applyBorder="1" applyFont="1">
      <alignment horizontal="center"/>
    </xf>
    <xf borderId="0" fillId="0" fontId="2" numFmtId="0" xfId="0" applyAlignment="1" applyFont="1">
      <alignment horizontal="center" readingOrder="0" vertical="center"/>
    </xf>
    <xf borderId="12" fillId="0" fontId="2" numFmtId="0" xfId="0" applyAlignment="1" applyBorder="1" applyFont="1">
      <alignment vertical="center"/>
    </xf>
    <xf borderId="8" fillId="0" fontId="27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0" fillId="0" fontId="2" numFmtId="0" xfId="0" applyAlignment="1" applyBorder="1" applyFont="1">
      <alignment readingOrder="0" vertical="center"/>
    </xf>
    <xf borderId="15" fillId="0" fontId="2" numFmtId="0" xfId="0" applyBorder="1" applyFont="1"/>
    <xf borderId="5" fillId="0" fontId="28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2" fillId="0" fontId="2" numFmtId="0" xfId="0" applyAlignment="1" applyBorder="1" applyFont="1">
      <alignment readingOrder="0" vertical="center"/>
    </xf>
    <xf borderId="4" fillId="0" fontId="29" numFmtId="0" xfId="0" applyAlignment="1" applyBorder="1" applyFont="1">
      <alignment horizontal="center"/>
    </xf>
    <xf borderId="10" fillId="0" fontId="2" numFmtId="0" xfId="0" applyAlignment="1" applyBorder="1" applyFont="1">
      <alignment vertical="center"/>
    </xf>
    <xf borderId="2" fillId="0" fontId="30" numFmtId="0" xfId="0" applyAlignment="1" applyBorder="1" applyFont="1">
      <alignment horizontal="center"/>
    </xf>
    <xf borderId="13" fillId="0" fontId="31" numFmtId="0" xfId="0" applyAlignment="1" applyBorder="1" applyFont="1">
      <alignment horizontal="center"/>
    </xf>
    <xf borderId="10" fillId="3" fontId="32" numFmtId="0" xfId="0" applyAlignment="1" applyBorder="1" applyFont="1">
      <alignment readingOrder="0" vertical="center"/>
    </xf>
    <xf borderId="9" fillId="0" fontId="33" numFmtId="0" xfId="0" applyAlignment="1" applyBorder="1" applyFont="1">
      <alignment horizontal="center" readingOrder="0"/>
    </xf>
    <xf borderId="11" fillId="0" fontId="34" numFmtId="0" xfId="0" applyAlignment="1" applyBorder="1" applyFont="1">
      <alignment horizontal="center"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4" fillId="0" fontId="35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8" fillId="0" fontId="36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5" fillId="0" fontId="37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center"/>
    </xf>
    <xf borderId="10" fillId="0" fontId="2" numFmtId="0" xfId="0" applyBorder="1" applyFont="1"/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6" fillId="0" fontId="38" numFmtId="0" xfId="0" applyAlignment="1" applyBorder="1" applyFont="1">
      <alignment horizontal="center" readingOrder="0"/>
    </xf>
    <xf borderId="6" fillId="3" fontId="32" numFmtId="0" xfId="0" applyAlignment="1" applyBorder="1" applyFont="1">
      <alignment horizontal="left" readingOrder="0"/>
    </xf>
    <xf borderId="6" fillId="3" fontId="32" numFmtId="0" xfId="0" applyAlignment="1" applyBorder="1" applyFont="1">
      <alignment readingOrder="0"/>
    </xf>
    <xf borderId="1" fillId="5" fontId="1" numFmtId="0" xfId="0" applyAlignment="1" applyBorder="1" applyFont="1">
      <alignment horizontal="center" readingOrder="0"/>
    </xf>
    <xf borderId="4" fillId="5" fontId="1" numFmtId="0" xfId="0" applyAlignment="1" applyBorder="1" applyFont="1">
      <alignment readingOrder="0"/>
    </xf>
    <xf borderId="4" fillId="5" fontId="1" numFmtId="0" xfId="0" applyAlignment="1" applyBorder="1" applyFont="1">
      <alignment horizontal="center" readingOrder="0"/>
    </xf>
    <xf borderId="4" fillId="5" fontId="1" numFmtId="2" xfId="0" applyAlignment="1" applyBorder="1" applyFont="1" applyNumberFormat="1">
      <alignment horizontal="center" readingOrder="0"/>
    </xf>
    <xf borderId="6" fillId="5" fontId="1" numFmtId="0" xfId="0" applyAlignment="1" applyBorder="1" applyFont="1">
      <alignment horizontal="center" readingOrder="0"/>
    </xf>
    <xf borderId="0" fillId="6" fontId="39" numFmtId="0" xfId="0" applyAlignment="1" applyFill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2" xfId="0" applyAlignment="1" applyFont="1" applyNumberFormat="1">
      <alignment horizontal="center" readingOrder="0"/>
    </xf>
    <xf borderId="0" fillId="6" fontId="2" numFmtId="2" xfId="0" applyAlignment="1" applyFont="1" applyNumberFormat="1">
      <alignment horizontal="center"/>
    </xf>
    <xf borderId="0" fillId="0" fontId="40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3" fontId="2" numFmtId="2" xfId="0" applyAlignment="1" applyFont="1" applyNumberFormat="1">
      <alignment horizontal="center" readingOrder="0"/>
    </xf>
    <xf borderId="0" fillId="3" fontId="2" numFmtId="2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3" fontId="2" numFmtId="0" xfId="0" applyFont="1"/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5" fontId="2" numFmtId="2" xfId="0" applyAlignment="1" applyFont="1" applyNumberFormat="1">
      <alignment horizontal="center"/>
    </xf>
    <xf borderId="0" fillId="5" fontId="2" numFmtId="0" xfId="0" applyFont="1"/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2" numFmtId="2" xfId="0" applyAlignment="1" applyFont="1" applyNumberFormat="1">
      <alignment horizontal="center"/>
    </xf>
    <xf borderId="0" fillId="4" fontId="2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2" xfId="0" applyAlignment="1" applyFont="1" applyNumberFormat="1">
      <alignment horizontal="center"/>
    </xf>
    <xf borderId="0" fillId="2" fontId="2" numFmtId="0" xfId="0" applyFont="1"/>
    <xf borderId="0" fillId="6" fontId="2" numFmtId="0" xfId="0" applyAlignment="1" applyFont="1">
      <alignment readingOrder="0"/>
    </xf>
    <xf borderId="0" fillId="6" fontId="2" numFmtId="0" xfId="0" applyAlignment="1" applyFont="1">
      <alignment horizontal="center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horizontal="center"/>
    </xf>
    <xf borderId="0" fillId="7" fontId="2" numFmtId="2" xfId="0" applyAlignment="1" applyFont="1" applyNumberFormat="1">
      <alignment horizontal="center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f5It_B1QM8RRFcBe_93XPyVkDZbA-h5_mDgCRaHVlBE" TargetMode="External"/><Relationship Id="rId11" Type="http://schemas.openxmlformats.org/officeDocument/2006/relationships/hyperlink" Target="https://drive.google.com/open?id=1f5It_B1QM8RRFcBe_93XPyVkDZbA-h5_mDgCRaHVlBE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open?id=1f5It_B1QM8RRFcBe_93XPyVkDZbA-h5_mDgCRaHVlBE" TargetMode="External"/><Relationship Id="rId21" Type="http://schemas.openxmlformats.org/officeDocument/2006/relationships/hyperlink" Target="https://drive.google.com/open?id=1f5It_B1QM8RRFcBe_93XPyVkDZbA-h5_mDgCRaHVlBE" TargetMode="External"/><Relationship Id="rId13" Type="http://schemas.openxmlformats.org/officeDocument/2006/relationships/hyperlink" Target="https://drive.google.com/open?id=1f5It_B1QM8RRFcBe_93XPyVkDZbA-h5_mDgCRaHVlBE" TargetMode="External"/><Relationship Id="rId12" Type="http://schemas.openxmlformats.org/officeDocument/2006/relationships/hyperlink" Target="https://drive.google.com/open?id=1f5It_B1QM8RRFcBe_93XPyVkDZbA-h5_mDgCRaHVlBE" TargetMode="External"/><Relationship Id="rId23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f5It_B1QM8RRFcBe_93XPyVkDZbA-h5_mDgCRaHVlBE" TargetMode="External"/><Relationship Id="rId3" Type="http://schemas.openxmlformats.org/officeDocument/2006/relationships/hyperlink" Target="https://drive.google.com/open?id=1f5It_B1QM8RRFcBe_93XPyVkDZbA-h5_mDgCRaHVlBE" TargetMode="External"/><Relationship Id="rId4" Type="http://schemas.openxmlformats.org/officeDocument/2006/relationships/hyperlink" Target="https://drive.google.com/open?id=1f5It_B1QM8RRFcBe_93XPyVkDZbA-h5_mDgCRaHVlBE" TargetMode="External"/><Relationship Id="rId9" Type="http://schemas.openxmlformats.org/officeDocument/2006/relationships/hyperlink" Target="https://drive.google.com/open?id=1f5It_B1QM8RRFcBe_93XPyVkDZbA-h5_mDgCRaHVlBE" TargetMode="External"/><Relationship Id="rId15" Type="http://schemas.openxmlformats.org/officeDocument/2006/relationships/hyperlink" Target="https://drive.google.com/open?id=1f5It_B1QM8RRFcBe_93XPyVkDZbA-h5_mDgCRaHVlBE" TargetMode="External"/><Relationship Id="rId14" Type="http://schemas.openxmlformats.org/officeDocument/2006/relationships/hyperlink" Target="https://drive.google.com/open?id=1f5It_B1QM8RRFcBe_93XPyVkDZbA-h5_mDgCRaHVlBE" TargetMode="External"/><Relationship Id="rId17" Type="http://schemas.openxmlformats.org/officeDocument/2006/relationships/hyperlink" Target="https://drive.google.com/open?id=1f5It_B1QM8RRFcBe_93XPyVkDZbA-h5_mDgCRaHVlBE" TargetMode="External"/><Relationship Id="rId16" Type="http://schemas.openxmlformats.org/officeDocument/2006/relationships/hyperlink" Target="https://drive.google.com/open?id=1f5It_B1QM8RRFcBe_93XPyVkDZbA-h5_mDgCRaHVlBE" TargetMode="External"/><Relationship Id="rId5" Type="http://schemas.openxmlformats.org/officeDocument/2006/relationships/hyperlink" Target="https://drive.google.com/open?id=1f5It_B1QM8RRFcBe_93XPyVkDZbA-h5_mDgCRaHVlBE" TargetMode="External"/><Relationship Id="rId19" Type="http://schemas.openxmlformats.org/officeDocument/2006/relationships/hyperlink" Target="https://drive.google.com/open?id=1f5It_B1QM8RRFcBe_93XPyVkDZbA-h5_mDgCRaHVlBE" TargetMode="External"/><Relationship Id="rId6" Type="http://schemas.openxmlformats.org/officeDocument/2006/relationships/hyperlink" Target="https://drive.google.com/open?id=1f5It_B1QM8RRFcBe_93XPyVkDZbA-h5_mDgCRaHVlBE" TargetMode="External"/><Relationship Id="rId18" Type="http://schemas.openxmlformats.org/officeDocument/2006/relationships/hyperlink" Target="https://drive.google.com/open?id=1f5It_B1QM8RRFcBe_93XPyVkDZbA-h5_mDgCRaHVlBE" TargetMode="External"/><Relationship Id="rId7" Type="http://schemas.openxmlformats.org/officeDocument/2006/relationships/hyperlink" Target="https://drive.google.com/open?id=1f5It_B1QM8RRFcBe_93XPyVkDZbA-h5_mDgCRaHVlBE" TargetMode="External"/><Relationship Id="rId8" Type="http://schemas.openxmlformats.org/officeDocument/2006/relationships/hyperlink" Target="https://drive.google.com/open?id=1f5It_B1QM8RRFcBe_93XPyVkDZbA-h5_mDgCRaHVlB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drive.google.com/open?id=1f5It_B1QM8RRFcBe_93XPyVkDZbA-h5_mDgCRaHVlBE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drive.google.com/open?id=1f5It_B1QM8RRFcBe_93XPyVkDZbA-h5_mDgCRaHVlBE" TargetMode="External"/><Relationship Id="rId3" Type="http://schemas.openxmlformats.org/officeDocument/2006/relationships/hyperlink" Target="https://drive.google.com/open?id=1f5It_B1QM8RRFcBe_93XPyVkDZbA-h5_mDgCRaHVlBE" TargetMode="External"/><Relationship Id="rId4" Type="http://schemas.openxmlformats.org/officeDocument/2006/relationships/drawing" Target="../drawings/drawing3.xml"/><Relationship Id="rId5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f5It_B1QM8RRFcBe_93XPyVkDZbA-h5_mDgCRaHVlBE" TargetMode="External"/><Relationship Id="rId10" Type="http://schemas.openxmlformats.org/officeDocument/2006/relationships/hyperlink" Target="https://drive.google.com/open?id=1f5It_B1QM8RRFcBe_93XPyVkDZbA-h5_mDgCRaHVlBE" TargetMode="External"/><Relationship Id="rId13" Type="http://schemas.openxmlformats.org/officeDocument/2006/relationships/hyperlink" Target="https://drive.google.com/open?id=1f5It_B1QM8RRFcBe_93XPyVkDZbA-h5_mDgCRaHVlBE" TargetMode="External"/><Relationship Id="rId12" Type="http://schemas.openxmlformats.org/officeDocument/2006/relationships/hyperlink" Target="https://drive.google.com/open?id=1f5It_B1QM8RRFcBe_93XPyVkDZbA-h5_mDgCRaHVlBE" TargetMode="External"/><Relationship Id="rId1" Type="http://schemas.openxmlformats.org/officeDocument/2006/relationships/comments" Target="../comments4.xml"/><Relationship Id="rId2" Type="http://schemas.openxmlformats.org/officeDocument/2006/relationships/hyperlink" Target="https://drive.google.com/open?id=1f5It_B1QM8RRFcBe_93XPyVkDZbA-h5_mDgCRaHVlBE" TargetMode="External"/><Relationship Id="rId3" Type="http://schemas.openxmlformats.org/officeDocument/2006/relationships/hyperlink" Target="https://drive.google.com/open?id=1f5It_B1QM8RRFcBe_93XPyVkDZbA-h5_mDgCRaHVlBE" TargetMode="External"/><Relationship Id="rId4" Type="http://schemas.openxmlformats.org/officeDocument/2006/relationships/hyperlink" Target="https://drive.google.com/open?id=1f5It_B1QM8RRFcBe_93XPyVkDZbA-h5_mDgCRaHVlBE" TargetMode="External"/><Relationship Id="rId9" Type="http://schemas.openxmlformats.org/officeDocument/2006/relationships/hyperlink" Target="https://drive.google.com/open?id=1f5It_B1QM8RRFcBe_93XPyVkDZbA-h5_mDgCRaHVlBE" TargetMode="External"/><Relationship Id="rId15" Type="http://schemas.openxmlformats.org/officeDocument/2006/relationships/hyperlink" Target="https://drive.google.com/open?id=1f5It_B1QM8RRFcBe_93XPyVkDZbA-h5_mDgCRaHVlBE" TargetMode="External"/><Relationship Id="rId14" Type="http://schemas.openxmlformats.org/officeDocument/2006/relationships/hyperlink" Target="https://drive.google.com/open?id=1f5It_B1QM8RRFcBe_93XPyVkDZbA-h5_mDgCRaHVlBE" TargetMode="External"/><Relationship Id="rId17" Type="http://schemas.openxmlformats.org/officeDocument/2006/relationships/hyperlink" Target="https://drive.google.com/open?id=1f5It_B1QM8RRFcBe_93XPyVkDZbA-h5_mDgCRaHVlBE" TargetMode="External"/><Relationship Id="rId16" Type="http://schemas.openxmlformats.org/officeDocument/2006/relationships/hyperlink" Target="https://drive.google.com/open?id=1f5It_B1QM8RRFcBe_93XPyVkDZbA-h5_mDgCRaHVlBE" TargetMode="External"/><Relationship Id="rId5" Type="http://schemas.openxmlformats.org/officeDocument/2006/relationships/hyperlink" Target="https://drive.google.com/open?id=1f5It_B1QM8RRFcBe_93XPyVkDZbA-h5_mDgCRaHVlBE" TargetMode="External"/><Relationship Id="rId19" Type="http://schemas.openxmlformats.org/officeDocument/2006/relationships/vmlDrawing" Target="../drawings/vmlDrawing4.vml"/><Relationship Id="rId6" Type="http://schemas.openxmlformats.org/officeDocument/2006/relationships/hyperlink" Target="https://drive.google.com/open?id=1f5It_B1QM8RRFcBe_93XPyVkDZbA-h5_mDgCRaHVlBE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s://drive.google.com/open?id=1f5It_B1QM8RRFcBe_93XPyVkDZbA-h5_mDgCRaHVlBE" TargetMode="External"/><Relationship Id="rId8" Type="http://schemas.openxmlformats.org/officeDocument/2006/relationships/hyperlink" Target="https://drive.google.com/open?id=1f5It_B1QM8RRFcBe_93XPyVkDZbA-h5_mDgCRaHVlBE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drive.google.com/open?id=1f5It_B1QM8RRFcBe_93XPyVkDZbA-h5_mDgCRaHVlBE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iHVFa8N9PtqRHbjhNeQu9TcJJ-PUahwPK-mhfEHS1Qo" TargetMode="External"/><Relationship Id="rId42" Type="http://schemas.openxmlformats.org/officeDocument/2006/relationships/hyperlink" Target="https://drive.google.com/open?id=1XfqbumFEGEvifLrlN06hMoureyiMAJxXnDe2K25nSP0" TargetMode="External"/><Relationship Id="rId41" Type="http://schemas.openxmlformats.org/officeDocument/2006/relationships/hyperlink" Target="https://drive.google.com/open?id=1rff2r0z-HJMx8E9LIWRq03eD1dB6xYKEaE2diTnP2ic" TargetMode="External"/><Relationship Id="rId44" Type="http://schemas.openxmlformats.org/officeDocument/2006/relationships/hyperlink" Target="https://drive.google.com/open?id=1iHVFa8N9PtqRHbjhNeQu9TcJJ-PUahwPK-mhfEHS1Qo" TargetMode="External"/><Relationship Id="rId43" Type="http://schemas.openxmlformats.org/officeDocument/2006/relationships/hyperlink" Target="https://drive.google.com/open?id=1LnunARl1a9XkheDFxbM8l5hmTmmWQfz9W6q6bep8iF4" TargetMode="External"/><Relationship Id="rId46" Type="http://schemas.openxmlformats.org/officeDocument/2006/relationships/hyperlink" Target="https://drive.google.com/open?id=1rff2r0z-HJMx8E9LIWRq03eD1dB6xYKEaE2diTnP2ic" TargetMode="External"/><Relationship Id="rId45" Type="http://schemas.openxmlformats.org/officeDocument/2006/relationships/hyperlink" Target="https://drive.google.com/open?id=1bBvPtCnlkfdWHvBEvBdXYC-DTgcO8JbWCg8mJWryH1w" TargetMode="External"/><Relationship Id="rId1" Type="http://schemas.openxmlformats.org/officeDocument/2006/relationships/hyperlink" Target="https://drive.google.com/open?id=1bBvPtCnlkfdWHvBEvBdXYC-DTgcO8JbWCg8mJWryH1w" TargetMode="External"/><Relationship Id="rId2" Type="http://schemas.openxmlformats.org/officeDocument/2006/relationships/hyperlink" Target="https://drive.google.com/open?id=1zsqctwldid9Jw6-b4I_MKXyAxjY6f8nY5W67uMZ0lSQ" TargetMode="External"/><Relationship Id="rId3" Type="http://schemas.openxmlformats.org/officeDocument/2006/relationships/hyperlink" Target="https://drive.google.com/open?id=1NMZYLmL0c7sYni6MXvSS_Pds1EKMfU9eUzXRF1bCAhA" TargetMode="External"/><Relationship Id="rId4" Type="http://schemas.openxmlformats.org/officeDocument/2006/relationships/hyperlink" Target="https://drive.google.com/open?id=1rff2r0z-HJMx8E9LIWRq03eD1dB6xYKEaE2diTnP2ic" TargetMode="External"/><Relationship Id="rId9" Type="http://schemas.openxmlformats.org/officeDocument/2006/relationships/hyperlink" Target="https://drive.google.com/open?id=1zsqctwldid9Jw6-b4I_MKXyAxjY6f8nY5W67uMZ0lSQ" TargetMode="External"/><Relationship Id="rId48" Type="http://schemas.openxmlformats.org/officeDocument/2006/relationships/hyperlink" Target="https://drive.google.com/open?id=1iHVFa8N9PtqRHbjhNeQu9TcJJ-PUahwPK-mhfEHS1Qo" TargetMode="External"/><Relationship Id="rId47" Type="http://schemas.openxmlformats.org/officeDocument/2006/relationships/hyperlink" Target="https://drive.google.com/open?id=1XfqbumFEGEvifLrlN06hMoureyiMAJxXnDe2K25nSP0" TargetMode="External"/><Relationship Id="rId49" Type="http://schemas.openxmlformats.org/officeDocument/2006/relationships/hyperlink" Target="https://drive.google.com/open?id=1kEwWWf9fXp__R5wwoZxR764qx1Ky9vchusx-Ag9Zmaw" TargetMode="External"/><Relationship Id="rId5" Type="http://schemas.openxmlformats.org/officeDocument/2006/relationships/hyperlink" Target="https://drive.google.com/open?id=1XfqbumFEGEvifLrlN06hMoureyiMAJxXnDe2K25nSP0" TargetMode="External"/><Relationship Id="rId6" Type="http://schemas.openxmlformats.org/officeDocument/2006/relationships/hyperlink" Target="https://drive.google.com/open?id=1iHVFa8N9PtqRHbjhNeQu9TcJJ-PUahwPK-mhfEHS1Qo" TargetMode="External"/><Relationship Id="rId7" Type="http://schemas.openxmlformats.org/officeDocument/2006/relationships/hyperlink" Target="https://drive.google.com/open?id=1bBvPtCnlkfdWHvBEvBdXYC-DTgcO8JbWCg8mJWryH1w" TargetMode="External"/><Relationship Id="rId8" Type="http://schemas.openxmlformats.org/officeDocument/2006/relationships/hyperlink" Target="https://drive.google.com/open?id=1m0Su0vMFS5IilmUJ_K_3-2iCRDDV61dbpRJZt9eligM" TargetMode="External"/><Relationship Id="rId73" Type="http://schemas.openxmlformats.org/officeDocument/2006/relationships/hyperlink" Target="https://drive.google.com/open?id=1m0Su0vMFS5IilmUJ_K_3-2iCRDDV61dbpRJZt9eligM" TargetMode="External"/><Relationship Id="rId72" Type="http://schemas.openxmlformats.org/officeDocument/2006/relationships/hyperlink" Target="https://drive.google.com/open?id=1bBvPtCnlkfdWHvBEvBdXYC-DTgcO8JbWCg8mJWryH1w" TargetMode="External"/><Relationship Id="rId31" Type="http://schemas.openxmlformats.org/officeDocument/2006/relationships/hyperlink" Target="https://drive.google.com/open?id=1NMZYLmL0c7sYni6MXvSS_Pds1EKMfU9eUzXRF1bCAhA" TargetMode="External"/><Relationship Id="rId75" Type="http://schemas.openxmlformats.org/officeDocument/2006/relationships/hyperlink" Target="https://drive.google.com/open?id=1XfqbumFEGEvifLrlN06hMoureyiMAJxXnDe2K25nSP0" TargetMode="External"/><Relationship Id="rId30" Type="http://schemas.openxmlformats.org/officeDocument/2006/relationships/hyperlink" Target="https://drive.google.com/open?id=1m0Su0vMFS5IilmUJ_K_3-2iCRDDV61dbpRJZt9eligM" TargetMode="External"/><Relationship Id="rId74" Type="http://schemas.openxmlformats.org/officeDocument/2006/relationships/hyperlink" Target="https://drive.google.com/open?id=1zsqctwldid9Jw6-b4I_MKXyAxjY6f8nY5W67uMZ0lSQ" TargetMode="External"/><Relationship Id="rId33" Type="http://schemas.openxmlformats.org/officeDocument/2006/relationships/hyperlink" Target="https://drive.google.com/open?id=1rff2r0z-HJMx8E9LIWRq03eD1dB6xYKEaE2diTnP2ic" TargetMode="External"/><Relationship Id="rId32" Type="http://schemas.openxmlformats.org/officeDocument/2006/relationships/hyperlink" Target="https://drive.google.com/open?id=1B8UrwyvoAacPkGlUcQiQUu185laNLjGVlv2WJHjCwTE" TargetMode="External"/><Relationship Id="rId76" Type="http://schemas.openxmlformats.org/officeDocument/2006/relationships/drawing" Target="../drawings/drawing7.xml"/><Relationship Id="rId35" Type="http://schemas.openxmlformats.org/officeDocument/2006/relationships/hyperlink" Target="https://drive.google.com/open?id=1iHVFa8N9PtqRHbjhNeQu9TcJJ-PUahwPK-mhfEHS1Qo" TargetMode="External"/><Relationship Id="rId34" Type="http://schemas.openxmlformats.org/officeDocument/2006/relationships/hyperlink" Target="https://drive.google.com/open?id=1XfqbumFEGEvifLrlN06hMoureyiMAJxXnDe2K25nSP0" TargetMode="External"/><Relationship Id="rId71" Type="http://schemas.openxmlformats.org/officeDocument/2006/relationships/hyperlink" Target="https://drive.google.com/open?id=1DeHdsNYGKj59U182UY3WanrE0HAI0NNQgDhoB4NIOh8" TargetMode="External"/><Relationship Id="rId70" Type="http://schemas.openxmlformats.org/officeDocument/2006/relationships/hyperlink" Target="https://drive.google.com/open?id=1NMZYLmL0c7sYni6MXvSS_Pds1EKMfU9eUzXRF1bCAhA" TargetMode="External"/><Relationship Id="rId37" Type="http://schemas.openxmlformats.org/officeDocument/2006/relationships/hyperlink" Target="https://drive.google.com/open?id=1B8UrwyvoAacPkGlUcQiQUu185laNLjGVlv2WJHjCwTE" TargetMode="External"/><Relationship Id="rId36" Type="http://schemas.openxmlformats.org/officeDocument/2006/relationships/hyperlink" Target="https://drive.google.com/open?id=1kEwWWf9fXp__R5wwoZxR764qx1Ky9vchusx-Ag9Zmaw" TargetMode="External"/><Relationship Id="rId39" Type="http://schemas.openxmlformats.org/officeDocument/2006/relationships/hyperlink" Target="https://drive.google.com/open?id=1XfqbumFEGEvifLrlN06hMoureyiMAJxXnDe2K25nSP0" TargetMode="External"/><Relationship Id="rId38" Type="http://schemas.openxmlformats.org/officeDocument/2006/relationships/hyperlink" Target="https://drive.google.com/open?id=1rff2r0z-HJMx8E9LIWRq03eD1dB6xYKEaE2diTnP2ic" TargetMode="External"/><Relationship Id="rId62" Type="http://schemas.openxmlformats.org/officeDocument/2006/relationships/hyperlink" Target="https://drive.google.com/open?id=1rff2r0z-HJMx8E9LIWRq03eD1dB6xYKEaE2diTnP2ic" TargetMode="External"/><Relationship Id="rId61" Type="http://schemas.openxmlformats.org/officeDocument/2006/relationships/hyperlink" Target="https://drive.google.com/open?id=1DeHdsNYGKj59U182UY3WanrE0HAI0NNQgDhoB4NIOh8" TargetMode="External"/><Relationship Id="rId20" Type="http://schemas.openxmlformats.org/officeDocument/2006/relationships/hyperlink" Target="https://drive.google.com/open?id=1iHVFa8N9PtqRHbjhNeQu9TcJJ-PUahwPK-mhfEHS1Qo" TargetMode="External"/><Relationship Id="rId64" Type="http://schemas.openxmlformats.org/officeDocument/2006/relationships/hyperlink" Target="https://drive.google.com/open?id=19dbnUQk0Wb-WZUVp5SRpIDXUFLBuhaUfkERU7edm850" TargetMode="External"/><Relationship Id="rId63" Type="http://schemas.openxmlformats.org/officeDocument/2006/relationships/hyperlink" Target="https://drive.google.com/open?id=1iHVFa8N9PtqRHbjhNeQu9TcJJ-PUahwPK-mhfEHS1Qo" TargetMode="External"/><Relationship Id="rId22" Type="http://schemas.openxmlformats.org/officeDocument/2006/relationships/hyperlink" Target="https://drive.google.com/open?id=1rff2r0z-HJMx8E9LIWRq03eD1dB6xYKEaE2diTnP2ic" TargetMode="External"/><Relationship Id="rId66" Type="http://schemas.openxmlformats.org/officeDocument/2006/relationships/hyperlink" Target="https://drive.google.com/open?id=1DeHdsNYGKj59U182UY3WanrE0HAI0NNQgDhoB4NIOh8" TargetMode="External"/><Relationship Id="rId21" Type="http://schemas.openxmlformats.org/officeDocument/2006/relationships/hyperlink" Target="https://drive.google.com/open?id=1B8UrwyvoAacPkGlUcQiQUu185laNLjGVlv2WJHjCwTE" TargetMode="External"/><Relationship Id="rId65" Type="http://schemas.openxmlformats.org/officeDocument/2006/relationships/hyperlink" Target="https://drive.google.com/open?id=1B8UrwyvoAacPkGlUcQiQUu185laNLjGVlv2WJHjCwTE" TargetMode="External"/><Relationship Id="rId24" Type="http://schemas.openxmlformats.org/officeDocument/2006/relationships/hyperlink" Target="https://drive.google.com/open?id=1iHVFa8N9PtqRHbjhNeQu9TcJJ-PUahwPK-mhfEHS1Qo" TargetMode="External"/><Relationship Id="rId68" Type="http://schemas.openxmlformats.org/officeDocument/2006/relationships/hyperlink" Target="https://drive.google.com/open?id=1m0Su0vMFS5IilmUJ_K_3-2iCRDDV61dbpRJZt9eligM" TargetMode="External"/><Relationship Id="rId23" Type="http://schemas.openxmlformats.org/officeDocument/2006/relationships/hyperlink" Target="https://drive.google.com/open?id=1XfqbumFEGEvifLrlN06hMoureyiMAJxXnDe2K25nSP0" TargetMode="External"/><Relationship Id="rId67" Type="http://schemas.openxmlformats.org/officeDocument/2006/relationships/hyperlink" Target="https://drive.google.com/open?id=1iHVFa8N9PtqRHbjhNeQu9TcJJ-PUahwPK-mhfEHS1Qo" TargetMode="External"/><Relationship Id="rId60" Type="http://schemas.openxmlformats.org/officeDocument/2006/relationships/hyperlink" Target="https://drive.google.com/open?id=1s_FoYoZ7puB8Ls2z1AqMu1U9EQtdn4U2pA-AEIhg18k" TargetMode="External"/><Relationship Id="rId26" Type="http://schemas.openxmlformats.org/officeDocument/2006/relationships/hyperlink" Target="https://drive.google.com/open?id=1XfqbumFEGEvifLrlN06hMoureyiMAJxXnDe2K25nSP0" TargetMode="External"/><Relationship Id="rId25" Type="http://schemas.openxmlformats.org/officeDocument/2006/relationships/hyperlink" Target="https://drive.google.com/open?id=1NMZYLmL0c7sYni6MXvSS_Pds1EKMfU9eUzXRF1bCAhA" TargetMode="External"/><Relationship Id="rId69" Type="http://schemas.openxmlformats.org/officeDocument/2006/relationships/hyperlink" Target="https://drive.google.com/open?id=1s_FoYoZ7puB8Ls2z1AqMu1U9EQtdn4U2pA-AEIhg18k" TargetMode="External"/><Relationship Id="rId28" Type="http://schemas.openxmlformats.org/officeDocument/2006/relationships/hyperlink" Target="https://drive.google.com/open?id=1s_FoYoZ7puB8Ls2z1AqMu1U9EQtdn4U2pA-AEIhg18k" TargetMode="External"/><Relationship Id="rId27" Type="http://schemas.openxmlformats.org/officeDocument/2006/relationships/hyperlink" Target="https://drive.google.com/open?id=1iHVFa8N9PtqRHbjhNeQu9TcJJ-PUahwPK-mhfEHS1Qo" TargetMode="External"/><Relationship Id="rId29" Type="http://schemas.openxmlformats.org/officeDocument/2006/relationships/hyperlink" Target="https://drive.google.com/open?id=1bBvPtCnlkfdWHvBEvBdXYC-DTgcO8JbWCg8mJWryH1w" TargetMode="External"/><Relationship Id="rId51" Type="http://schemas.openxmlformats.org/officeDocument/2006/relationships/hyperlink" Target="https://drive.google.com/open?id=1B8UrwyvoAacPkGlUcQiQUu185laNLjGVlv2WJHjCwTE" TargetMode="External"/><Relationship Id="rId50" Type="http://schemas.openxmlformats.org/officeDocument/2006/relationships/hyperlink" Target="https://drive.google.com/open?id=1m0Su0vMFS5IilmUJ_K_3-2iCRDDV61dbpRJZt9eligM" TargetMode="External"/><Relationship Id="rId53" Type="http://schemas.openxmlformats.org/officeDocument/2006/relationships/hyperlink" Target="https://drive.google.com/open?id=1LnunARl1a9XkheDFxbM8l5hmTmmWQfz9W6q6bep8iF4" TargetMode="External"/><Relationship Id="rId52" Type="http://schemas.openxmlformats.org/officeDocument/2006/relationships/hyperlink" Target="https://drive.google.com/open?id=1XfqbumFEGEvifLrlN06hMoureyiMAJxXnDe2K25nSP0" TargetMode="External"/><Relationship Id="rId11" Type="http://schemas.openxmlformats.org/officeDocument/2006/relationships/hyperlink" Target="https://drive.google.com/open?id=1rff2r0z-HJMx8E9LIWRq03eD1dB6xYKEaE2diTnP2ic" TargetMode="External"/><Relationship Id="rId55" Type="http://schemas.openxmlformats.org/officeDocument/2006/relationships/hyperlink" Target="https://drive.google.com/open?id=1kEwWWf9fXp__R5wwoZxR764qx1Ky9vchusx-Ag9Zmaw" TargetMode="External"/><Relationship Id="rId10" Type="http://schemas.openxmlformats.org/officeDocument/2006/relationships/hyperlink" Target="https://drive.google.com/open?id=1DeHdsNYGKj59U182UY3WanrE0HAI0NNQgDhoB4NIOh8" TargetMode="External"/><Relationship Id="rId54" Type="http://schemas.openxmlformats.org/officeDocument/2006/relationships/hyperlink" Target="https://drive.google.com/open?id=1iHVFa8N9PtqRHbjhNeQu9TcJJ-PUahwPK-mhfEHS1Qo" TargetMode="External"/><Relationship Id="rId13" Type="http://schemas.openxmlformats.org/officeDocument/2006/relationships/hyperlink" Target="https://drive.google.com/open?id=1iHVFa8N9PtqRHbjhNeQu9TcJJ-PUahwPK-mhfEHS1Qo" TargetMode="External"/><Relationship Id="rId57" Type="http://schemas.openxmlformats.org/officeDocument/2006/relationships/hyperlink" Target="https://drive.google.com/open?id=1XfqbumFEGEvifLrlN06hMoureyiMAJxXnDe2K25nSP0" TargetMode="External"/><Relationship Id="rId12" Type="http://schemas.openxmlformats.org/officeDocument/2006/relationships/hyperlink" Target="https://drive.google.com/open?id=1XfqbumFEGEvifLrlN06hMoureyiMAJxXnDe2K25nSP0" TargetMode="External"/><Relationship Id="rId56" Type="http://schemas.openxmlformats.org/officeDocument/2006/relationships/hyperlink" Target="https://drive.google.com/open?id=19dbnUQk0Wb-WZUVp5SRpIDXUFLBuhaUfkERU7edm850" TargetMode="External"/><Relationship Id="rId15" Type="http://schemas.openxmlformats.org/officeDocument/2006/relationships/hyperlink" Target="https://drive.google.com/open?id=1m0Su0vMFS5IilmUJ_K_3-2iCRDDV61dbpRJZt9eligM" TargetMode="External"/><Relationship Id="rId59" Type="http://schemas.openxmlformats.org/officeDocument/2006/relationships/hyperlink" Target="https://drive.google.com/open?id=1iHVFa8N9PtqRHbjhNeQu9TcJJ-PUahwPK-mhfEHS1Qo" TargetMode="External"/><Relationship Id="rId14" Type="http://schemas.openxmlformats.org/officeDocument/2006/relationships/hyperlink" Target="https://drive.google.com/open?id=1bBvPtCnlkfdWHvBEvBdXYC-DTgcO8JbWCg8mJWryH1w" TargetMode="External"/><Relationship Id="rId58" Type="http://schemas.openxmlformats.org/officeDocument/2006/relationships/hyperlink" Target="https://drive.google.com/open?id=1iHVFa8N9PtqRHbjhNeQu9TcJJ-PUahwPK-mhfEHS1Qo" TargetMode="External"/><Relationship Id="rId17" Type="http://schemas.openxmlformats.org/officeDocument/2006/relationships/hyperlink" Target="https://drive.google.com/open?id=1B8UrwyvoAacPkGlUcQiQUu185laNLjGVlv2WJHjCwTE" TargetMode="External"/><Relationship Id="rId16" Type="http://schemas.openxmlformats.org/officeDocument/2006/relationships/hyperlink" Target="https://drive.google.com/open?id=1NMZYLmL0c7sYni6MXvSS_Pds1EKMfU9eUzXRF1bCAhA" TargetMode="External"/><Relationship Id="rId19" Type="http://schemas.openxmlformats.org/officeDocument/2006/relationships/hyperlink" Target="https://drive.google.com/open?id=1XfqbumFEGEvifLrlN06hMoureyiMAJxXnDe2K25nSP0" TargetMode="External"/><Relationship Id="rId18" Type="http://schemas.openxmlformats.org/officeDocument/2006/relationships/hyperlink" Target="https://drive.google.com/open?id=1rff2r0z-HJMx8E9LIWRq03eD1dB6xYKEaE2diTnP2ic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f5It_B1QM8RRFcBe_93XPyVkDZbA-h5_mDgCRaHVlBE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5.14"/>
    <col customWidth="1" min="2" max="2" width="8.71"/>
    <col customWidth="1" min="3" max="3" width="8.0"/>
    <col customWidth="1" min="4" max="5" width="10.14"/>
    <col customWidth="1" min="6" max="6" width="11.57"/>
    <col customWidth="1" min="7" max="7" width="7.29"/>
    <col customWidth="1" min="8" max="8" width="8.0"/>
    <col customWidth="1" min="9" max="9" width="10.86"/>
    <col customWidth="1" min="10" max="10" width="15.29"/>
    <col customWidth="1" min="11" max="11" width="14.43"/>
    <col customWidth="1" min="12" max="12" width="10.29"/>
    <col customWidth="1" min="13" max="14" width="14.43"/>
    <col customWidth="1" min="15" max="19" width="7.29"/>
    <col customWidth="1" min="20" max="20" width="10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1" t="s">
        <v>12</v>
      </c>
      <c r="M2" s="2"/>
      <c r="N2" s="3"/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 t="s">
        <v>20</v>
      </c>
      <c r="M3" s="8" t="s">
        <v>21</v>
      </c>
      <c r="N3" s="8" t="s">
        <v>22</v>
      </c>
      <c r="O3" s="7"/>
      <c r="P3" s="7"/>
      <c r="Q3" s="7"/>
      <c r="R3" s="7"/>
      <c r="S3" s="7"/>
      <c r="T3" s="7"/>
      <c r="U3" s="7"/>
    </row>
    <row r="4">
      <c r="A4" s="9" t="str">
        <f>HYPERLINK("https://docs.google.com/spreadsheets/d/1w0I5RoQ7uENhUG1ncC5V9B3b6BQapplx180-f9F9s4w/edit?usp=sharing","Rob Cesternino")</f>
        <v>Rob Cesternino</v>
      </c>
      <c r="B4" s="10">
        <v>6.0</v>
      </c>
      <c r="C4" s="10">
        <v>104.0</v>
      </c>
      <c r="D4" s="10">
        <v>13.0</v>
      </c>
      <c r="E4" s="11">
        <v>8.0</v>
      </c>
      <c r="F4" s="12">
        <v>0.214</v>
      </c>
      <c r="G4" s="10">
        <v>38.0</v>
      </c>
      <c r="H4" s="10" t="s">
        <v>23</v>
      </c>
      <c r="I4" s="10" t="s">
        <v>9</v>
      </c>
      <c r="J4" s="10" t="s">
        <v>24</v>
      </c>
      <c r="K4" s="10" t="s">
        <v>25</v>
      </c>
      <c r="L4" s="13">
        <v>5.0</v>
      </c>
      <c r="M4" s="13">
        <v>3.0</v>
      </c>
      <c r="N4" s="13">
        <v>1.0</v>
      </c>
      <c r="O4" s="13">
        <v>11.0</v>
      </c>
      <c r="P4" s="10" t="s">
        <v>23</v>
      </c>
      <c r="Q4" s="10" t="s">
        <v>23</v>
      </c>
      <c r="R4" s="10"/>
      <c r="S4" s="10" t="s">
        <v>23</v>
      </c>
      <c r="T4" s="10"/>
      <c r="U4" s="10" t="s">
        <v>23</v>
      </c>
    </row>
    <row r="5">
      <c r="A5" s="9" t="str">
        <f>HYPERLINK("https://docs.google.com/spreadsheets/d/18wmIvmUS3SeZNSPQeUzr6sPl9GBYpVSlOaFR_kJCmKo/edit?usp=sharing","Colby Donaldson")</f>
        <v>Colby Donaldson</v>
      </c>
      <c r="B5" s="10">
        <v>2.0</v>
      </c>
      <c r="C5" s="10">
        <v>98.0</v>
      </c>
      <c r="D5" s="10">
        <v>14.0</v>
      </c>
      <c r="E5" s="11">
        <v>7.0</v>
      </c>
      <c r="F5" s="12">
        <v>0.1747</v>
      </c>
      <c r="G5" s="10">
        <v>42.0</v>
      </c>
      <c r="H5" s="10" t="s">
        <v>23</v>
      </c>
      <c r="I5" s="10" t="s">
        <v>9</v>
      </c>
      <c r="J5" s="10" t="s">
        <v>26</v>
      </c>
      <c r="K5" s="10" t="s">
        <v>27</v>
      </c>
      <c r="L5" s="13">
        <v>7.0</v>
      </c>
      <c r="M5" s="13">
        <v>2.0</v>
      </c>
      <c r="N5" s="13">
        <v>5.0</v>
      </c>
      <c r="O5" s="13">
        <v>12.0</v>
      </c>
      <c r="P5" s="10" t="s">
        <v>23</v>
      </c>
      <c r="Q5" s="10" t="s">
        <v>23</v>
      </c>
      <c r="R5" s="10"/>
      <c r="S5" s="10" t="s">
        <v>23</v>
      </c>
      <c r="T5" s="10"/>
      <c r="U5" s="10" t="s">
        <v>23</v>
      </c>
    </row>
    <row r="6">
      <c r="A6" s="9" t="str">
        <f>HYPERLINK("https://docs.google.com/spreadsheets/d/1y7awzkkkaNlh7XKjc44AGriTvqB9H3pVz8cFLyIYdbo/edit?usp=sharing","Tony Vlachos")</f>
        <v>Tony Vlachos</v>
      </c>
      <c r="B6" s="10">
        <v>28.0</v>
      </c>
      <c r="C6" s="10">
        <v>97.0</v>
      </c>
      <c r="D6" s="10">
        <v>14.0</v>
      </c>
      <c r="E6" s="11">
        <v>6.93</v>
      </c>
      <c r="F6" s="12">
        <v>0.2113</v>
      </c>
      <c r="G6" s="10">
        <v>39.0</v>
      </c>
      <c r="H6" s="10" t="s">
        <v>23</v>
      </c>
      <c r="I6" s="10" t="s">
        <v>9</v>
      </c>
      <c r="J6" s="10" t="s">
        <v>28</v>
      </c>
      <c r="K6" s="10" t="s">
        <v>29</v>
      </c>
      <c r="L6" s="13">
        <v>10.0</v>
      </c>
      <c r="M6" s="13">
        <v>5.0</v>
      </c>
      <c r="N6" s="13" t="s">
        <v>23</v>
      </c>
      <c r="O6" s="13">
        <v>11.0</v>
      </c>
      <c r="P6" s="10" t="s">
        <v>23</v>
      </c>
      <c r="Q6" s="10" t="s">
        <v>23</v>
      </c>
      <c r="R6" s="10"/>
      <c r="S6" s="10">
        <v>3.0</v>
      </c>
      <c r="T6" s="10"/>
      <c r="U6" s="10" t="s">
        <v>23</v>
      </c>
    </row>
    <row r="7">
      <c r="A7" s="9" t="str">
        <f>HYPERLINK("https://docs.google.com/spreadsheets/d/1CcEdjXKuhm6HmXecNbnscxpFab1HRQEjKSDga6QxqAU/edit?usp=sharing","Rob Mariano")</f>
        <v>Rob Mariano</v>
      </c>
      <c r="B7" s="10">
        <v>22.0</v>
      </c>
      <c r="C7" s="10">
        <v>97.0</v>
      </c>
      <c r="D7" s="10">
        <v>14.0</v>
      </c>
      <c r="E7" s="11">
        <v>6.93</v>
      </c>
      <c r="F7" s="12">
        <v>0.2288</v>
      </c>
      <c r="G7" s="10">
        <v>39.0</v>
      </c>
      <c r="H7" s="10">
        <v>1.0</v>
      </c>
      <c r="I7" s="10" t="s">
        <v>9</v>
      </c>
      <c r="J7" s="10" t="s">
        <v>28</v>
      </c>
      <c r="K7" s="10" t="s">
        <v>29</v>
      </c>
      <c r="L7" s="13">
        <v>7.0</v>
      </c>
      <c r="M7" s="13">
        <v>4.0</v>
      </c>
      <c r="N7" s="13">
        <v>4.0</v>
      </c>
      <c r="O7" s="13">
        <v>14.0</v>
      </c>
      <c r="P7" s="13" t="s">
        <v>23</v>
      </c>
      <c r="Q7" s="13" t="s">
        <v>23</v>
      </c>
      <c r="R7" s="13"/>
      <c r="S7" s="10">
        <v>1.0</v>
      </c>
      <c r="T7" s="10"/>
      <c r="U7" s="10" t="s">
        <v>23</v>
      </c>
    </row>
    <row r="8">
      <c r="A8" s="9" t="str">
        <f>HYPERLINK("https://docs.google.com/spreadsheets/d/14eN4V4imd53x81UQVckjyAx_2xIFGXJ8NE4XmE1oDkg/edit?usp=sharing","Richard Hatch")</f>
        <v>Richard Hatch</v>
      </c>
      <c r="B8" s="10">
        <v>1.0</v>
      </c>
      <c r="C8" s="10">
        <v>92.0</v>
      </c>
      <c r="D8" s="10">
        <v>13.0</v>
      </c>
      <c r="E8" s="11">
        <v>7.08</v>
      </c>
      <c r="F8" s="14">
        <v>0.14</v>
      </c>
      <c r="G8" s="10">
        <v>39.0</v>
      </c>
      <c r="H8" s="10" t="s">
        <v>23</v>
      </c>
      <c r="I8" s="10" t="s">
        <v>9</v>
      </c>
      <c r="J8" s="10" t="s">
        <v>28</v>
      </c>
      <c r="K8" s="10" t="s">
        <v>30</v>
      </c>
      <c r="L8" s="13">
        <v>3.0</v>
      </c>
      <c r="M8" s="13">
        <v>3.0</v>
      </c>
      <c r="N8" s="13">
        <v>1.0</v>
      </c>
      <c r="O8" s="13">
        <v>12.0</v>
      </c>
      <c r="P8" s="10" t="s">
        <v>23</v>
      </c>
      <c r="Q8" s="10" t="s">
        <v>23</v>
      </c>
      <c r="R8" s="10"/>
      <c r="S8" s="10" t="s">
        <v>23</v>
      </c>
      <c r="T8" s="10"/>
      <c r="U8" s="10" t="s">
        <v>23</v>
      </c>
    </row>
    <row r="9">
      <c r="A9" s="9" t="str">
        <f>HYPERLINK("https://docs.google.com/spreadsheets/d/14eN4V4imd53x81UQVckjyAx_2xIFGXJ8NE4XmE1oDkg/edit?usp=sharing","Kelly Wiglesworth")</f>
        <v>Kelly Wiglesworth</v>
      </c>
      <c r="B9" s="10">
        <v>1.0</v>
      </c>
      <c r="C9" s="10">
        <v>85.0</v>
      </c>
      <c r="D9" s="10">
        <v>13.0</v>
      </c>
      <c r="E9" s="11">
        <v>6.54</v>
      </c>
      <c r="F9" s="14">
        <v>0.1294</v>
      </c>
      <c r="G9" s="10">
        <v>39.0</v>
      </c>
      <c r="H9" s="10" t="s">
        <v>23</v>
      </c>
      <c r="I9" s="10" t="s">
        <v>9</v>
      </c>
      <c r="J9" s="10" t="s">
        <v>26</v>
      </c>
      <c r="K9" s="10" t="s">
        <v>27</v>
      </c>
      <c r="L9" s="13">
        <v>3.0</v>
      </c>
      <c r="M9" s="13">
        <v>3.0</v>
      </c>
      <c r="N9" s="13">
        <v>4.0</v>
      </c>
      <c r="O9" s="13">
        <v>12.0</v>
      </c>
      <c r="P9" s="10" t="s">
        <v>23</v>
      </c>
      <c r="Q9" s="10" t="s">
        <v>23</v>
      </c>
      <c r="R9" s="10"/>
      <c r="S9" s="10" t="s">
        <v>23</v>
      </c>
      <c r="T9" s="10"/>
      <c r="U9" s="10" t="s">
        <v>23</v>
      </c>
    </row>
    <row r="10">
      <c r="A10" s="9" t="str">
        <f>HYPERLINK("https://docs.google.com/spreadsheets/d/1nRsx7fR5xbH1eAbI_vBDvqXOgh7mXIwmZNhzrVL6oGM/edit?usp=sharing","Kathy Vavrick-O'Brien")</f>
        <v>Kathy Vavrick-O'Brien</v>
      </c>
      <c r="B10" s="10">
        <v>4.0</v>
      </c>
      <c r="C10" s="10">
        <v>84.0</v>
      </c>
      <c r="D10" s="10">
        <v>13.0</v>
      </c>
      <c r="E10" s="11">
        <v>6.46</v>
      </c>
      <c r="F10" s="12">
        <v>0.1757</v>
      </c>
      <c r="G10" s="10">
        <v>38.0</v>
      </c>
      <c r="H10" s="10">
        <v>1.0</v>
      </c>
      <c r="I10" s="10" t="s">
        <v>9</v>
      </c>
      <c r="J10" s="10" t="s">
        <v>24</v>
      </c>
      <c r="K10" s="10" t="s">
        <v>25</v>
      </c>
      <c r="L10" s="13">
        <v>7.0</v>
      </c>
      <c r="M10" s="13">
        <v>4.0</v>
      </c>
      <c r="N10" s="13">
        <v>2.0</v>
      </c>
      <c r="O10" s="13">
        <v>10.0</v>
      </c>
      <c r="P10" s="10" t="s">
        <v>23</v>
      </c>
      <c r="Q10" s="10" t="s">
        <v>23</v>
      </c>
      <c r="R10" s="10"/>
      <c r="S10" s="10" t="s">
        <v>23</v>
      </c>
      <c r="T10" s="10"/>
      <c r="U10" s="10" t="s">
        <v>23</v>
      </c>
    </row>
    <row r="11">
      <c r="A11" s="9" t="str">
        <f>HYPERLINK("https://docs.google.com/spreadsheets/d/1EZNO7rY3X3GsqJDX9iY8RpZJJDJ-K4nm_Mxm1g397N0/edit?usp=sharing","Lex van den Berghe")</f>
        <v>Lex van den Berghe</v>
      </c>
      <c r="B11" s="10">
        <v>3.0</v>
      </c>
      <c r="C11" s="10">
        <v>81.0</v>
      </c>
      <c r="D11" s="10">
        <v>13.0</v>
      </c>
      <c r="E11" s="11">
        <v>6.23</v>
      </c>
      <c r="F11" s="12">
        <v>0.162</v>
      </c>
      <c r="G11" s="10">
        <v>38.0</v>
      </c>
      <c r="H11" s="10" t="s">
        <v>23</v>
      </c>
      <c r="I11" s="10" t="s">
        <v>9</v>
      </c>
      <c r="J11" s="10" t="s">
        <v>24</v>
      </c>
      <c r="K11" s="10" t="s">
        <v>25</v>
      </c>
      <c r="L11" s="13">
        <v>7.0</v>
      </c>
      <c r="M11" s="13">
        <v>3.0</v>
      </c>
      <c r="N11" s="13">
        <v>3.0</v>
      </c>
      <c r="O11" s="13">
        <v>11.0</v>
      </c>
      <c r="P11" s="10" t="s">
        <v>23</v>
      </c>
      <c r="Q11" s="10" t="s">
        <v>23</v>
      </c>
      <c r="R11" s="10"/>
      <c r="S11" s="10" t="s">
        <v>23</v>
      </c>
      <c r="T11" s="10"/>
      <c r="U11" s="10" t="s">
        <v>23</v>
      </c>
    </row>
    <row r="12">
      <c r="A12" s="9" t="str">
        <f>HYPERLINK("https://docs.google.com/spreadsheets/d/1OvIOVR4AMBMcafVt9o6KEur-eEFhew1kw_KUv3DV3Xs/edit?usp=sharing","Coach Wade")</f>
        <v>Coach Wade</v>
      </c>
      <c r="B12" s="10">
        <v>23.0</v>
      </c>
      <c r="C12" s="10">
        <v>78.0</v>
      </c>
      <c r="D12" s="10">
        <v>14.0</v>
      </c>
      <c r="E12" s="11">
        <v>5.57</v>
      </c>
      <c r="F12" s="12">
        <v>0.1945</v>
      </c>
      <c r="G12" s="10">
        <v>39.0</v>
      </c>
      <c r="H12" s="10" t="s">
        <v>23</v>
      </c>
      <c r="I12" s="10" t="s">
        <v>9</v>
      </c>
      <c r="J12" s="10" t="s">
        <v>31</v>
      </c>
      <c r="K12" s="10" t="s">
        <v>32</v>
      </c>
      <c r="L12" s="13">
        <v>6.0</v>
      </c>
      <c r="M12" s="13">
        <v>4.0</v>
      </c>
      <c r="N12" s="13">
        <v>1.0</v>
      </c>
      <c r="O12" s="13">
        <v>14.0</v>
      </c>
      <c r="P12" s="13" t="s">
        <v>23</v>
      </c>
      <c r="Q12" s="13" t="s">
        <v>23</v>
      </c>
      <c r="R12" s="13"/>
      <c r="S12" s="10">
        <v>1.0</v>
      </c>
      <c r="T12" s="10"/>
      <c r="U12" s="10" t="s">
        <v>23</v>
      </c>
    </row>
    <row r="13">
      <c r="A13" s="9" t="str">
        <f>HYPERLINK("https://docs.google.com/spreadsheets/d/1hg_GT4r2smQsgkwEYBqHOukVavnNSyncsyfceWDpOho/edit?usp=sharing","Rob Mariano")</f>
        <v>Rob Mariano</v>
      </c>
      <c r="B13" s="10">
        <v>8.0</v>
      </c>
      <c r="C13" s="10">
        <v>75.0</v>
      </c>
      <c r="D13" s="10">
        <v>15.0</v>
      </c>
      <c r="E13" s="11">
        <v>5.0</v>
      </c>
      <c r="F13" s="12">
        <v>0.1479</v>
      </c>
      <c r="G13" s="10">
        <v>39.0</v>
      </c>
      <c r="H13" s="10" t="s">
        <v>23</v>
      </c>
      <c r="I13" s="10" t="s">
        <v>9</v>
      </c>
      <c r="J13" s="10" t="s">
        <v>26</v>
      </c>
      <c r="K13" s="10" t="s">
        <v>32</v>
      </c>
      <c r="L13" s="13">
        <v>12.0</v>
      </c>
      <c r="M13" s="13">
        <v>5.0</v>
      </c>
      <c r="N13" s="13">
        <v>4.0</v>
      </c>
      <c r="O13" s="13">
        <v>9.0</v>
      </c>
      <c r="P13" s="10" t="s">
        <v>23</v>
      </c>
      <c r="Q13" s="10" t="s">
        <v>23</v>
      </c>
      <c r="R13" s="10"/>
      <c r="S13" s="10" t="s">
        <v>23</v>
      </c>
      <c r="T13" s="10"/>
      <c r="U13" s="10" t="s">
        <v>23</v>
      </c>
    </row>
    <row r="14">
      <c r="A14" s="15" t="str">
        <f>HYPERLINK("https://docs.google.com/spreadsheets/d/1t379i2CYDM1ZVdZZy_Nj2m3ht6Sp4J68-xZ2v4-PIMo/edit?usp=sharing","Tai Trang")</f>
        <v>Tai Trang</v>
      </c>
      <c r="B14" s="13">
        <v>32.0</v>
      </c>
      <c r="C14" s="13">
        <v>74.0</v>
      </c>
      <c r="D14" s="13">
        <v>14.0</v>
      </c>
      <c r="E14" s="16">
        <v>5.29</v>
      </c>
      <c r="F14" s="17">
        <v>0.1498</v>
      </c>
      <c r="G14" s="13">
        <v>39.0</v>
      </c>
      <c r="H14" s="13" t="s">
        <v>23</v>
      </c>
      <c r="I14" s="13" t="s">
        <v>9</v>
      </c>
      <c r="J14" s="13" t="s">
        <v>33</v>
      </c>
      <c r="K14" s="13" t="s">
        <v>34</v>
      </c>
      <c r="L14" s="13">
        <v>10.0</v>
      </c>
      <c r="M14" s="13">
        <v>4.0</v>
      </c>
      <c r="N14" s="13">
        <v>1.0</v>
      </c>
      <c r="O14" s="13">
        <v>9.0</v>
      </c>
      <c r="P14" s="13" t="s">
        <v>23</v>
      </c>
      <c r="Q14" s="13" t="s">
        <v>23</v>
      </c>
      <c r="R14" s="13"/>
      <c r="S14" s="13">
        <v>1.0</v>
      </c>
      <c r="T14" s="13"/>
      <c r="U14" s="13" t="s">
        <v>23</v>
      </c>
    </row>
    <row r="15">
      <c r="A15" s="9" t="str">
        <f>HYPERLINK("https://docs.google.com/spreadsheets/d/1HA0vQC0CSnQtVc8u58vwNd3sIFCc79SKVqM1abMG1hI/edit?usp=sharing","Mike Holloway")</f>
        <v>Mike Holloway</v>
      </c>
      <c r="B15" s="10">
        <v>30.0</v>
      </c>
      <c r="C15" s="10">
        <v>73.0</v>
      </c>
      <c r="D15" s="10">
        <v>14.0</v>
      </c>
      <c r="E15" s="11">
        <v>5.21</v>
      </c>
      <c r="F15" s="12">
        <v>0.1597</v>
      </c>
      <c r="G15" s="10">
        <v>39.0</v>
      </c>
      <c r="H15" s="10" t="s">
        <v>23</v>
      </c>
      <c r="I15" s="10" t="s">
        <v>9</v>
      </c>
      <c r="J15" s="10" t="s">
        <v>28</v>
      </c>
      <c r="K15" s="10" t="s">
        <v>29</v>
      </c>
      <c r="L15" s="13">
        <v>10.0</v>
      </c>
      <c r="M15" s="13">
        <v>4.0</v>
      </c>
      <c r="N15" s="13">
        <v>5.0</v>
      </c>
      <c r="O15" s="13">
        <v>12.0</v>
      </c>
      <c r="P15" s="10" t="s">
        <v>23</v>
      </c>
      <c r="Q15" s="10" t="s">
        <v>23</v>
      </c>
      <c r="R15" s="10"/>
      <c r="S15" s="10">
        <v>1.0</v>
      </c>
      <c r="T15" s="10"/>
      <c r="U15" s="10" t="s">
        <v>23</v>
      </c>
    </row>
    <row r="16">
      <c r="A16" s="18" t="s">
        <v>35</v>
      </c>
      <c r="B16" s="13">
        <v>40.0</v>
      </c>
      <c r="C16" s="13">
        <v>73.0</v>
      </c>
      <c r="D16" s="13">
        <v>15.0</v>
      </c>
      <c r="E16" s="16">
        <v>4.87</v>
      </c>
      <c r="F16" s="17">
        <v>0.1274</v>
      </c>
      <c r="G16" s="13">
        <v>39.0</v>
      </c>
      <c r="H16" s="13" t="s">
        <v>23</v>
      </c>
      <c r="I16" s="13" t="s">
        <v>9</v>
      </c>
      <c r="J16" s="13" t="s">
        <v>28</v>
      </c>
      <c r="K16" s="13" t="s">
        <v>36</v>
      </c>
      <c r="L16" s="13">
        <v>3.0</v>
      </c>
      <c r="M16" s="13">
        <v>5.0</v>
      </c>
      <c r="N16" s="13">
        <v>4.0</v>
      </c>
      <c r="O16" s="13">
        <v>14.0</v>
      </c>
      <c r="P16" s="13" t="s">
        <v>23</v>
      </c>
      <c r="Q16" s="13" t="s">
        <v>23</v>
      </c>
      <c r="R16" s="13" t="s">
        <v>23</v>
      </c>
      <c r="S16" s="13">
        <v>1.0</v>
      </c>
      <c r="T16" s="13">
        <v>3.0</v>
      </c>
      <c r="U16" s="13" t="s">
        <v>23</v>
      </c>
    </row>
    <row r="17">
      <c r="A17" s="15" t="str">
        <f>HYPERLINK("https://docs.google.com/spreadsheets/d/1yi_HtvN4TS5uRWCCFJg5RFaoouiIIe8CAtY_XnqP6iM/edit?usp=sharing","Chris Daugherty")</f>
        <v>Chris Daugherty</v>
      </c>
      <c r="B17" s="13">
        <v>9.0</v>
      </c>
      <c r="C17" s="13">
        <v>71.0</v>
      </c>
      <c r="D17" s="13">
        <v>14.0</v>
      </c>
      <c r="E17" s="16">
        <v>5.07</v>
      </c>
      <c r="F17" s="17">
        <v>0.1695</v>
      </c>
      <c r="G17" s="13">
        <v>39.0</v>
      </c>
      <c r="H17" s="13">
        <v>2.0</v>
      </c>
      <c r="I17" s="13" t="s">
        <v>9</v>
      </c>
      <c r="J17" s="13" t="s">
        <v>28</v>
      </c>
      <c r="K17" s="13" t="s">
        <v>29</v>
      </c>
      <c r="L17" s="13">
        <v>7.0</v>
      </c>
      <c r="M17" s="13">
        <v>3.0</v>
      </c>
      <c r="N17" s="13">
        <v>3.0</v>
      </c>
      <c r="O17" s="13">
        <v>13.0</v>
      </c>
      <c r="P17" s="10" t="s">
        <v>23</v>
      </c>
      <c r="Q17" s="10" t="s">
        <v>23</v>
      </c>
      <c r="R17" s="10"/>
      <c r="S17" s="10" t="s">
        <v>23</v>
      </c>
      <c r="T17" s="10"/>
      <c r="U17" s="10" t="s">
        <v>23</v>
      </c>
    </row>
    <row r="18">
      <c r="A18" s="9" t="str">
        <f>HYPERLINK("https://docs.google.com/spreadsheets/d/14eN4V4imd53x81UQVckjyAx_2xIFGXJ8NE4XmE1oDkg/edit?usp=sharing","Susan Hawk")</f>
        <v>Susan Hawk</v>
      </c>
      <c r="B18" s="10">
        <v>1.0</v>
      </c>
      <c r="C18" s="10">
        <v>71.0</v>
      </c>
      <c r="D18" s="10">
        <v>13.0</v>
      </c>
      <c r="E18" s="11">
        <v>5.46</v>
      </c>
      <c r="F18" s="14">
        <v>0.1081</v>
      </c>
      <c r="G18" s="10">
        <v>37.0</v>
      </c>
      <c r="H18" s="10" t="s">
        <v>23</v>
      </c>
      <c r="I18" s="10" t="s">
        <v>9</v>
      </c>
      <c r="J18" s="10" t="s">
        <v>37</v>
      </c>
      <c r="K18" s="10" t="s">
        <v>38</v>
      </c>
      <c r="L18" s="13">
        <v>2.0</v>
      </c>
      <c r="M18" s="13">
        <v>3.0</v>
      </c>
      <c r="N18" s="13" t="s">
        <v>23</v>
      </c>
      <c r="O18" s="13">
        <v>10.0</v>
      </c>
      <c r="P18" s="10" t="s">
        <v>23</v>
      </c>
      <c r="Q18" s="10" t="s">
        <v>23</v>
      </c>
      <c r="R18" s="10"/>
      <c r="S18" s="10" t="s">
        <v>23</v>
      </c>
      <c r="T18" s="10"/>
      <c r="U18" s="10" t="s">
        <v>23</v>
      </c>
    </row>
    <row r="19">
      <c r="A19" s="9" t="str">
        <f>HYPERLINK("https://docs.google.com/spreadsheets/d/18wmIvmUS3SeZNSPQeUzr6sPl9GBYpVSlOaFR_kJCmKo/edit?usp=sharing","Keith Famie")</f>
        <v>Keith Famie</v>
      </c>
      <c r="B19" s="10">
        <v>2.0</v>
      </c>
      <c r="C19" s="10">
        <v>70.0</v>
      </c>
      <c r="D19" s="10">
        <v>14.0</v>
      </c>
      <c r="E19" s="11">
        <v>5.0</v>
      </c>
      <c r="F19" s="12">
        <v>0.1248</v>
      </c>
      <c r="G19" s="10">
        <v>41.0</v>
      </c>
      <c r="H19" s="10" t="s">
        <v>23</v>
      </c>
      <c r="I19" s="10" t="s">
        <v>9</v>
      </c>
      <c r="J19" s="10" t="s">
        <v>24</v>
      </c>
      <c r="K19" s="10" t="s">
        <v>25</v>
      </c>
      <c r="L19" s="13">
        <v>4.0</v>
      </c>
      <c r="M19" s="13">
        <v>2.0</v>
      </c>
      <c r="N19" s="13">
        <v>2.0</v>
      </c>
      <c r="O19" s="13">
        <v>11.0</v>
      </c>
      <c r="P19" s="10" t="s">
        <v>23</v>
      </c>
      <c r="Q19" s="10" t="s">
        <v>23</v>
      </c>
      <c r="R19" s="10"/>
      <c r="S19" s="10" t="s">
        <v>23</v>
      </c>
      <c r="T19" s="10"/>
      <c r="U19" s="10" t="s">
        <v>23</v>
      </c>
    </row>
    <row r="20">
      <c r="A20" s="15" t="str">
        <f>HYPERLINK("https://docs.google.com/spreadsheets/d/1t379i2CYDM1ZVdZZy_Nj2m3ht6Sp4J68-xZ2v4-PIMo/edit?usp=sharing","Aubry Bracco")</f>
        <v>Aubry Bracco</v>
      </c>
      <c r="B20" s="13">
        <v>32.0</v>
      </c>
      <c r="C20" s="13">
        <v>70.0</v>
      </c>
      <c r="D20" s="13">
        <v>14.0</v>
      </c>
      <c r="E20" s="16">
        <v>5.0</v>
      </c>
      <c r="F20" s="17">
        <v>0.1417</v>
      </c>
      <c r="G20" s="13">
        <v>39.0</v>
      </c>
      <c r="H20" s="13">
        <v>2.0</v>
      </c>
      <c r="I20" s="13" t="s">
        <v>9</v>
      </c>
      <c r="J20" s="13" t="s">
        <v>31</v>
      </c>
      <c r="K20" s="13" t="s">
        <v>32</v>
      </c>
      <c r="L20" s="13">
        <v>8.0</v>
      </c>
      <c r="M20" s="13">
        <v>3.0</v>
      </c>
      <c r="N20" s="13" t="s">
        <v>23</v>
      </c>
      <c r="O20" s="13">
        <v>10.0</v>
      </c>
      <c r="P20" s="13" t="s">
        <v>23</v>
      </c>
      <c r="Q20" s="13" t="s">
        <v>23</v>
      </c>
      <c r="R20" s="13"/>
      <c r="S20" s="13" t="s">
        <v>23</v>
      </c>
      <c r="T20" s="13"/>
      <c r="U20" s="13" t="s">
        <v>23</v>
      </c>
    </row>
    <row r="21">
      <c r="A21" s="15" t="str">
        <f>HYPERLINK("https://docs.google.com/spreadsheets/d/1q-5bbq9txg93Y0eUACxRPTIN5PuRjeDVpNDfeXEw4iE/edit?usp=sharing","Ben Driebergen")</f>
        <v>Ben Driebergen</v>
      </c>
      <c r="B21" s="13">
        <v>35.0</v>
      </c>
      <c r="C21" s="13">
        <v>70.0</v>
      </c>
      <c r="D21" s="13">
        <v>14.0</v>
      </c>
      <c r="E21" s="16">
        <v>5.0</v>
      </c>
      <c r="F21" s="17">
        <v>0.1624</v>
      </c>
      <c r="G21" s="13">
        <v>39.0</v>
      </c>
      <c r="H21" s="13" t="s">
        <v>23</v>
      </c>
      <c r="I21" s="13" t="s">
        <v>9</v>
      </c>
      <c r="J21" s="13" t="s">
        <v>28</v>
      </c>
      <c r="K21" s="13" t="s">
        <v>29</v>
      </c>
      <c r="L21" s="13">
        <v>9.0</v>
      </c>
      <c r="M21" s="13">
        <v>5.0</v>
      </c>
      <c r="N21" s="13" t="s">
        <v>23</v>
      </c>
      <c r="O21" s="13">
        <v>11.0</v>
      </c>
      <c r="P21" s="13" t="s">
        <v>23</v>
      </c>
      <c r="Q21" s="13" t="s">
        <v>23</v>
      </c>
      <c r="R21" s="13"/>
      <c r="S21" s="13">
        <v>3.0</v>
      </c>
      <c r="T21" s="13" t="s">
        <v>23</v>
      </c>
      <c r="U21" s="13" t="s">
        <v>23</v>
      </c>
    </row>
    <row r="22">
      <c r="A22" s="9" t="str">
        <f>HYPERLINK("https://docs.google.com/spreadsheets/d/18wmIvmUS3SeZNSPQeUzr6sPl9GBYpVSlOaFR_kJCmKo/edit?usp=sharing","Tina Wesson")</f>
        <v>Tina Wesson</v>
      </c>
      <c r="B22" s="10">
        <v>2.0</v>
      </c>
      <c r="C22" s="10">
        <v>69.0</v>
      </c>
      <c r="D22" s="10">
        <v>14.0</v>
      </c>
      <c r="E22" s="11">
        <v>4.93</v>
      </c>
      <c r="F22" s="12">
        <v>0.123</v>
      </c>
      <c r="G22" s="10">
        <v>42.0</v>
      </c>
      <c r="H22" s="10">
        <v>1.0</v>
      </c>
      <c r="I22" s="10" t="s">
        <v>9</v>
      </c>
      <c r="J22" s="10" t="s">
        <v>28</v>
      </c>
      <c r="K22" s="10" t="s">
        <v>30</v>
      </c>
      <c r="L22" s="13">
        <v>5.0</v>
      </c>
      <c r="M22" s="13">
        <v>2.0</v>
      </c>
      <c r="N22" s="13" t="s">
        <v>23</v>
      </c>
      <c r="O22" s="13">
        <v>12.0</v>
      </c>
      <c r="P22" s="10" t="s">
        <v>23</v>
      </c>
      <c r="Q22" s="10" t="s">
        <v>23</v>
      </c>
      <c r="R22" s="10"/>
      <c r="S22" s="10" t="s">
        <v>23</v>
      </c>
      <c r="T22" s="10"/>
      <c r="U22" s="10" t="s">
        <v>23</v>
      </c>
    </row>
    <row r="23">
      <c r="A23" s="15" t="str">
        <f>HYPERLINK("https://docs.google.com/spreadsheets/d/1Hf_PbZTXAuooCoiF7c3Bz80t5-zCjdWHF8wQ_HyodNs/edit?usp=sharing","Domenick Abbate")</f>
        <v>Domenick Abbate</v>
      </c>
      <c r="B23" s="13">
        <v>36.0</v>
      </c>
      <c r="C23" s="13">
        <v>68.0</v>
      </c>
      <c r="D23" s="13">
        <v>14.0</v>
      </c>
      <c r="E23" s="16">
        <v>4.86</v>
      </c>
      <c r="F23" s="17">
        <v>0.173</v>
      </c>
      <c r="G23" s="13">
        <v>39.0</v>
      </c>
      <c r="H23" s="13">
        <v>1.0</v>
      </c>
      <c r="I23" s="13" t="s">
        <v>9</v>
      </c>
      <c r="J23" s="13" t="s">
        <v>31</v>
      </c>
      <c r="K23" s="13" t="s">
        <v>39</v>
      </c>
      <c r="L23" s="13">
        <v>7.0</v>
      </c>
      <c r="M23" s="13">
        <v>5.0</v>
      </c>
      <c r="N23" s="13">
        <v>3.0</v>
      </c>
      <c r="O23" s="13">
        <v>12.0</v>
      </c>
      <c r="P23" s="13" t="s">
        <v>23</v>
      </c>
      <c r="Q23" s="13" t="s">
        <v>23</v>
      </c>
      <c r="R23" s="13"/>
      <c r="S23" s="13">
        <v>1.0</v>
      </c>
      <c r="T23" s="13">
        <v>2.0</v>
      </c>
      <c r="U23" s="13" t="s">
        <v>23</v>
      </c>
    </row>
    <row r="24">
      <c r="A24" s="9" t="str">
        <f>HYPERLINK("https://docs.google.com/spreadsheets/d/1EZNO7rY3X3GsqJDX9iY8RpZJJDJ-K4nm_Mxm1g397N0/edit?usp=sharing","Ethan Zohn")</f>
        <v>Ethan Zohn</v>
      </c>
      <c r="B24" s="10">
        <v>3.0</v>
      </c>
      <c r="C24" s="10">
        <v>68.0</v>
      </c>
      <c r="D24" s="10">
        <v>13.0</v>
      </c>
      <c r="E24" s="11">
        <v>5.23</v>
      </c>
      <c r="F24" s="12">
        <v>0.136</v>
      </c>
      <c r="G24" s="10">
        <v>39.0</v>
      </c>
      <c r="H24" s="10">
        <v>1.0</v>
      </c>
      <c r="I24" s="10" t="s">
        <v>9</v>
      </c>
      <c r="J24" s="10" t="s">
        <v>28</v>
      </c>
      <c r="K24" s="10" t="s">
        <v>30</v>
      </c>
      <c r="L24" s="13">
        <v>5.0</v>
      </c>
      <c r="M24" s="13">
        <v>3.0</v>
      </c>
      <c r="N24" s="13">
        <v>1.0</v>
      </c>
      <c r="O24" s="13">
        <v>12.0</v>
      </c>
      <c r="P24" s="10" t="s">
        <v>23</v>
      </c>
      <c r="Q24" s="10" t="s">
        <v>23</v>
      </c>
      <c r="R24" s="10"/>
      <c r="S24" s="10" t="s">
        <v>23</v>
      </c>
      <c r="T24" s="10"/>
      <c r="U24" s="10" t="s">
        <v>23</v>
      </c>
    </row>
    <row r="25">
      <c r="A25" s="19" t="str">
        <f>HYPERLINK("https://docs.google.com/spreadsheets/d/1TniiK35-AGMNddj9lkge_tT9QfOGXMfX2thnTv8npTo/edit?usp=sharing","Clay Jordan")</f>
        <v>Clay Jordan</v>
      </c>
      <c r="B25" s="20">
        <v>5.0</v>
      </c>
      <c r="C25" s="21">
        <v>68.0</v>
      </c>
      <c r="D25" s="20">
        <v>13.0</v>
      </c>
      <c r="E25" s="22">
        <v>5.23</v>
      </c>
      <c r="F25" s="14">
        <v>0.1408</v>
      </c>
      <c r="G25" s="21">
        <v>39.0</v>
      </c>
      <c r="H25" s="21" t="s">
        <v>23</v>
      </c>
      <c r="I25" s="10" t="s">
        <v>9</v>
      </c>
      <c r="J25" s="20" t="s">
        <v>26</v>
      </c>
      <c r="K25" s="20" t="s">
        <v>27</v>
      </c>
      <c r="L25" s="13">
        <v>4.0</v>
      </c>
      <c r="M25" s="13">
        <v>5.0</v>
      </c>
      <c r="N25" s="13">
        <v>1.0</v>
      </c>
      <c r="O25" s="13">
        <v>10.0</v>
      </c>
      <c r="P25" s="10" t="s">
        <v>23</v>
      </c>
      <c r="Q25" s="10" t="s">
        <v>23</v>
      </c>
      <c r="R25" s="10"/>
      <c r="S25" s="10" t="s">
        <v>23</v>
      </c>
      <c r="T25" s="10"/>
      <c r="U25" s="10" t="s">
        <v>23</v>
      </c>
    </row>
    <row r="26">
      <c r="A26" s="9" t="str">
        <f>HYPERLINK("https://docs.google.com/spreadsheets/d/1y7awzkkkaNlh7XKjc44AGriTvqB9H3pVz8cFLyIYdbo/edit?usp=sharing","Spencer Bledsoe")</f>
        <v>Spencer Bledsoe</v>
      </c>
      <c r="B26" s="10">
        <v>28.0</v>
      </c>
      <c r="C26" s="10">
        <v>67.0</v>
      </c>
      <c r="D26" s="10">
        <v>14.0</v>
      </c>
      <c r="E26" s="11">
        <v>4.79</v>
      </c>
      <c r="F26" s="12">
        <v>0.146</v>
      </c>
      <c r="G26" s="10">
        <v>37.0</v>
      </c>
      <c r="H26" s="10" t="s">
        <v>23</v>
      </c>
      <c r="I26" s="10" t="s">
        <v>9</v>
      </c>
      <c r="J26" s="10" t="s">
        <v>40</v>
      </c>
      <c r="K26" s="10" t="s">
        <v>41</v>
      </c>
      <c r="L26" s="13">
        <v>6.0</v>
      </c>
      <c r="M26" s="13">
        <v>2.0</v>
      </c>
      <c r="N26" s="13">
        <v>3.0</v>
      </c>
      <c r="O26" s="13">
        <v>12.0</v>
      </c>
      <c r="P26" s="10" t="s">
        <v>23</v>
      </c>
      <c r="Q26" s="10" t="s">
        <v>23</v>
      </c>
      <c r="R26" s="10"/>
      <c r="S26" s="10">
        <v>1.0</v>
      </c>
      <c r="T26" s="10"/>
      <c r="U26" s="10" t="s">
        <v>23</v>
      </c>
    </row>
    <row r="27">
      <c r="A27" s="9" t="str">
        <f>HYPERLINK("https://docs.google.com/spreadsheets/d/1LR80O0PvsOvoTuN5gHQd3Rls4b1rZmJd7EZ_DR2oRHs/edit?usp=sharing","John Cochran")</f>
        <v>John Cochran</v>
      </c>
      <c r="B27" s="10">
        <v>26.0</v>
      </c>
      <c r="C27" s="10">
        <v>67.0</v>
      </c>
      <c r="D27" s="10">
        <v>14.0</v>
      </c>
      <c r="E27" s="11">
        <v>4.79</v>
      </c>
      <c r="F27" s="12">
        <v>0.1622</v>
      </c>
      <c r="G27" s="10">
        <v>39.0</v>
      </c>
      <c r="H27" s="10">
        <v>1.0</v>
      </c>
      <c r="I27" s="10" t="s">
        <v>9</v>
      </c>
      <c r="J27" s="10" t="s">
        <v>28</v>
      </c>
      <c r="K27" s="10" t="s">
        <v>36</v>
      </c>
      <c r="L27" s="13">
        <v>11.0</v>
      </c>
      <c r="M27" s="13">
        <v>3.0</v>
      </c>
      <c r="N27" s="13">
        <v>3.0</v>
      </c>
      <c r="O27" s="13">
        <v>13.0</v>
      </c>
      <c r="P27" s="10" t="s">
        <v>23</v>
      </c>
      <c r="Q27" s="10" t="s">
        <v>23</v>
      </c>
      <c r="R27" s="10"/>
      <c r="S27" s="10" t="s">
        <v>23</v>
      </c>
      <c r="T27" s="10"/>
      <c r="U27" s="10" t="s">
        <v>23</v>
      </c>
    </row>
    <row r="28">
      <c r="A28" s="9" t="str">
        <f>HYPERLINK("https://docs.google.com/spreadsheets/d/1ReMaq-fM8zzflOjjrMrgnxEsdZxPIPIJqiZ9cCLO3cE/edit?usp=sharing","Malcolm Freberg")</f>
        <v>Malcolm Freberg</v>
      </c>
      <c r="B28" s="10">
        <v>25.0</v>
      </c>
      <c r="C28" s="10">
        <v>66.0</v>
      </c>
      <c r="D28" s="10">
        <v>14.0</v>
      </c>
      <c r="E28" s="11">
        <v>4.71</v>
      </c>
      <c r="F28" s="12">
        <v>0.1517</v>
      </c>
      <c r="G28" s="10">
        <v>38.0</v>
      </c>
      <c r="H28" s="10">
        <v>1.0</v>
      </c>
      <c r="I28" s="10" t="s">
        <v>9</v>
      </c>
      <c r="J28" s="10" t="s">
        <v>40</v>
      </c>
      <c r="K28" s="10" t="s">
        <v>41</v>
      </c>
      <c r="L28" s="13">
        <v>9.0</v>
      </c>
      <c r="M28" s="13">
        <v>2.0</v>
      </c>
      <c r="N28" s="13">
        <v>2.0</v>
      </c>
      <c r="O28" s="13">
        <v>12.0</v>
      </c>
      <c r="P28" s="10" t="s">
        <v>23</v>
      </c>
      <c r="Q28" s="10" t="s">
        <v>23</v>
      </c>
      <c r="R28" s="10"/>
      <c r="S28" s="10">
        <v>1.0</v>
      </c>
      <c r="T28" s="10"/>
      <c r="U28" s="10" t="s">
        <v>23</v>
      </c>
    </row>
    <row r="29">
      <c r="A29" s="15" t="str">
        <f>HYPERLINK("https://docs.google.com/spreadsheets/d/1VEbyebFdBtPJKQC_U2uGrW6_v1fn6Hsoz3YYLyCxHR0/edit?usp=sharing","Cirie Fields")</f>
        <v>Cirie Fields</v>
      </c>
      <c r="B29" s="13">
        <v>12.0</v>
      </c>
      <c r="C29" s="13">
        <v>65.0</v>
      </c>
      <c r="D29" s="13">
        <v>13.0</v>
      </c>
      <c r="E29" s="16">
        <v>5.0</v>
      </c>
      <c r="F29" s="17">
        <v>0.0099</v>
      </c>
      <c r="G29" s="13">
        <v>36.0</v>
      </c>
      <c r="H29" s="13" t="s">
        <v>23</v>
      </c>
      <c r="I29" s="13" t="s">
        <v>9</v>
      </c>
      <c r="J29" s="13" t="s">
        <v>37</v>
      </c>
      <c r="K29" s="13" t="s">
        <v>38</v>
      </c>
      <c r="L29" s="13">
        <v>8.0</v>
      </c>
      <c r="M29" s="13">
        <v>3.0</v>
      </c>
      <c r="N29" s="13" t="s">
        <v>23</v>
      </c>
      <c r="O29" s="13">
        <v>9.0</v>
      </c>
      <c r="P29" s="13" t="s">
        <v>23</v>
      </c>
      <c r="Q29" s="13" t="s">
        <v>23</v>
      </c>
      <c r="R29" s="13"/>
      <c r="S29" s="13" t="s">
        <v>23</v>
      </c>
      <c r="T29" s="13" t="s">
        <v>23</v>
      </c>
      <c r="U29" s="13" t="s">
        <v>23</v>
      </c>
    </row>
    <row r="30">
      <c r="A30" s="15" t="str">
        <f>HYPERLINK("https://docs.google.com/spreadsheets/d/1d8Hzm_QCJnDef8NF_dVYBZLjLjFI3Fl8Yt14m8Zhn8Y/edit?usp=sharing","Stephenie LaGrossa")</f>
        <v>Stephenie LaGrossa</v>
      </c>
      <c r="B30" s="13">
        <v>10.0</v>
      </c>
      <c r="C30" s="13">
        <v>64.0</v>
      </c>
      <c r="D30" s="13">
        <v>11.0</v>
      </c>
      <c r="E30" s="16">
        <v>5.82</v>
      </c>
      <c r="F30" s="17">
        <v>0.1499</v>
      </c>
      <c r="G30" s="13">
        <v>30.0</v>
      </c>
      <c r="H30" s="13" t="s">
        <v>23</v>
      </c>
      <c r="I30" s="13" t="s">
        <v>42</v>
      </c>
      <c r="J30" s="13" t="s">
        <v>43</v>
      </c>
      <c r="K30" s="13" t="s">
        <v>44</v>
      </c>
      <c r="L30" s="13">
        <v>5.0</v>
      </c>
      <c r="M30" s="13" t="s">
        <v>23</v>
      </c>
      <c r="N30" s="13" t="s">
        <v>23</v>
      </c>
      <c r="O30" s="13">
        <v>11.0</v>
      </c>
      <c r="P30" s="13" t="s">
        <v>23</v>
      </c>
      <c r="Q30" s="13" t="s">
        <v>23</v>
      </c>
      <c r="R30" s="13"/>
      <c r="S30" s="13" t="s">
        <v>23</v>
      </c>
      <c r="T30" s="13" t="s">
        <v>23</v>
      </c>
      <c r="U30" s="13" t="s">
        <v>23</v>
      </c>
    </row>
    <row r="31">
      <c r="A31" s="15" t="str">
        <f>HYPERLINK("https://docs.google.com/spreadsheets/d/1sWOJC8eB6rVdXdWiWMgfbfgw2325jIh1ODKxyaCmSGc/edit?usp=sharing","Stephenie LaGrossa")</f>
        <v>Stephenie LaGrossa</v>
      </c>
      <c r="B31" s="13">
        <v>11.0</v>
      </c>
      <c r="C31" s="13">
        <v>63.0</v>
      </c>
      <c r="D31" s="13">
        <v>14.0</v>
      </c>
      <c r="E31" s="16">
        <v>4.5</v>
      </c>
      <c r="F31" s="17">
        <v>0.1429</v>
      </c>
      <c r="G31" s="13">
        <v>39.0</v>
      </c>
      <c r="H31" s="13">
        <v>1.0</v>
      </c>
      <c r="I31" s="13" t="s">
        <v>9</v>
      </c>
      <c r="J31" s="13" t="s">
        <v>26</v>
      </c>
      <c r="K31" s="13" t="s">
        <v>32</v>
      </c>
      <c r="L31" s="13">
        <v>5.0</v>
      </c>
      <c r="M31" s="13">
        <v>3.0</v>
      </c>
      <c r="N31" s="13">
        <v>1.0</v>
      </c>
      <c r="O31" s="13">
        <v>13.0</v>
      </c>
      <c r="P31" s="13" t="s">
        <v>23</v>
      </c>
      <c r="Q31" s="13" t="s">
        <v>23</v>
      </c>
      <c r="R31" s="13"/>
      <c r="S31" s="13" t="s">
        <v>23</v>
      </c>
      <c r="T31" s="13" t="s">
        <v>23</v>
      </c>
      <c r="U31" s="13" t="s">
        <v>23</v>
      </c>
    </row>
    <row r="32">
      <c r="A32" s="19" t="str">
        <f>HYPERLINK("https://docs.google.com/spreadsheets/d/1TniiK35-AGMNddj9lkge_tT9QfOGXMfX2thnTv8npTo/edit?usp=sharing","Helen Glover")</f>
        <v>Helen Glover</v>
      </c>
      <c r="B32" s="20">
        <v>5.0</v>
      </c>
      <c r="C32" s="21">
        <v>63.0</v>
      </c>
      <c r="D32" s="20">
        <v>13.0</v>
      </c>
      <c r="E32" s="22">
        <v>4.85</v>
      </c>
      <c r="F32" s="14">
        <v>0.1304</v>
      </c>
      <c r="G32" s="21">
        <v>37.0</v>
      </c>
      <c r="H32" s="21" t="s">
        <v>23</v>
      </c>
      <c r="I32" s="10" t="s">
        <v>9</v>
      </c>
      <c r="J32" s="21" t="s">
        <v>37</v>
      </c>
      <c r="K32" s="20" t="s">
        <v>38</v>
      </c>
      <c r="L32" s="13">
        <v>5.0</v>
      </c>
      <c r="M32" s="13">
        <v>5.0</v>
      </c>
      <c r="N32" s="13">
        <v>1.0</v>
      </c>
      <c r="O32" s="13">
        <v>8.0</v>
      </c>
      <c r="P32" s="10" t="s">
        <v>23</v>
      </c>
      <c r="Q32" s="10" t="s">
        <v>23</v>
      </c>
      <c r="R32" s="10"/>
      <c r="S32" s="10" t="s">
        <v>23</v>
      </c>
      <c r="T32" s="10"/>
      <c r="U32" s="10" t="s">
        <v>23</v>
      </c>
    </row>
    <row r="33">
      <c r="A33" s="9" t="str">
        <f>HYPERLINK("https://docs.google.com/spreadsheets/d/1y7awzkkkaNlh7XKjc44AGriTvqB9H3pVz8cFLyIYdbo/edit?usp=sharing","Kass McQuillen")</f>
        <v>Kass McQuillen</v>
      </c>
      <c r="B33" s="10">
        <v>28.0</v>
      </c>
      <c r="C33" s="10">
        <v>62.0</v>
      </c>
      <c r="D33" s="10">
        <v>14.0</v>
      </c>
      <c r="E33" s="11">
        <v>4.43</v>
      </c>
      <c r="F33" s="12">
        <v>0.1351</v>
      </c>
      <c r="G33" s="10">
        <v>38.0</v>
      </c>
      <c r="H33" s="10" t="s">
        <v>23</v>
      </c>
      <c r="I33" s="10" t="s">
        <v>9</v>
      </c>
      <c r="J33" s="10" t="s">
        <v>45</v>
      </c>
      <c r="K33" s="10" t="s">
        <v>34</v>
      </c>
      <c r="L33" s="13">
        <v>4.0</v>
      </c>
      <c r="M33" s="13">
        <v>2.0</v>
      </c>
      <c r="N33" s="13">
        <v>1.0</v>
      </c>
      <c r="O33" s="13">
        <v>13.0</v>
      </c>
      <c r="P33" s="10" t="s">
        <v>23</v>
      </c>
      <c r="Q33" s="10" t="s">
        <v>23</v>
      </c>
      <c r="R33" s="10"/>
      <c r="S33" s="10" t="s">
        <v>23</v>
      </c>
      <c r="T33" s="10"/>
      <c r="U33" s="10" t="s">
        <v>23</v>
      </c>
    </row>
    <row r="34">
      <c r="A34" s="9" t="str">
        <f>HYPERLINK("https://docs.google.com/spreadsheets/d/1w0I5RoQ7uENhUG1ncC5V9B3b6BQapplx180-f9F9s4w/edit?usp=sharing","Jenna Morasca")</f>
        <v>Jenna Morasca</v>
      </c>
      <c r="B34" s="10">
        <v>6.0</v>
      </c>
      <c r="C34" s="10">
        <v>61.0</v>
      </c>
      <c r="D34" s="10">
        <v>13.0</v>
      </c>
      <c r="E34" s="11">
        <v>4.69</v>
      </c>
      <c r="F34" s="12">
        <v>0.1255</v>
      </c>
      <c r="G34" s="10">
        <v>39.0</v>
      </c>
      <c r="H34" s="10">
        <v>1.0</v>
      </c>
      <c r="I34" s="10" t="s">
        <v>9</v>
      </c>
      <c r="J34" s="10" t="s">
        <v>28</v>
      </c>
      <c r="K34" s="10" t="s">
        <v>30</v>
      </c>
      <c r="L34" s="13">
        <v>7.0</v>
      </c>
      <c r="M34" s="13">
        <v>3.0</v>
      </c>
      <c r="N34" s="13">
        <v>4.0</v>
      </c>
      <c r="O34" s="13">
        <v>12.0</v>
      </c>
      <c r="P34" s="10" t="s">
        <v>23</v>
      </c>
      <c r="Q34" s="10" t="s">
        <v>23</v>
      </c>
      <c r="R34" s="10"/>
      <c r="S34" s="10" t="s">
        <v>23</v>
      </c>
      <c r="T34" s="10"/>
      <c r="U34" s="10" t="s">
        <v>23</v>
      </c>
    </row>
    <row r="35">
      <c r="A35" s="9" t="str">
        <f>HYPERLINK("https://docs.google.com/spreadsheets/d/1OvIOVR4AMBMcafVt9o6KEur-eEFhew1kw_KUv3DV3Xs/edit?usp=sharing","John Cochran")</f>
        <v>John Cochran</v>
      </c>
      <c r="B35" s="10">
        <v>23.0</v>
      </c>
      <c r="C35" s="10">
        <v>61.0</v>
      </c>
      <c r="D35" s="10">
        <v>12.0</v>
      </c>
      <c r="E35" s="11">
        <v>5.08</v>
      </c>
      <c r="F35" s="12">
        <v>0.1521</v>
      </c>
      <c r="G35" s="10">
        <v>31.0</v>
      </c>
      <c r="H35" s="10" t="s">
        <v>23</v>
      </c>
      <c r="I35" s="10" t="s">
        <v>9</v>
      </c>
      <c r="J35" s="10" t="s">
        <v>46</v>
      </c>
      <c r="K35" s="10" t="s">
        <v>47</v>
      </c>
      <c r="L35" s="13">
        <v>6.0</v>
      </c>
      <c r="M35" s="13">
        <v>3.0</v>
      </c>
      <c r="N35" s="13" t="s">
        <v>23</v>
      </c>
      <c r="O35" s="13">
        <v>10.0</v>
      </c>
      <c r="P35" s="13" t="s">
        <v>23</v>
      </c>
      <c r="Q35" s="13">
        <v>1.0</v>
      </c>
      <c r="R35" s="13"/>
      <c r="S35" s="10">
        <v>1.0</v>
      </c>
      <c r="T35" s="10"/>
      <c r="U35" s="10" t="s">
        <v>23</v>
      </c>
    </row>
    <row r="36">
      <c r="A36" s="9" t="str">
        <f>HYPERLINK("https://docs.google.com/spreadsheets/d/1tPYt5CqjX32YXnh0BRsechvszEP2n4_ePabpiRTSzqE/edit?usp=sharing","Rupert Boneham")</f>
        <v>Rupert Boneham</v>
      </c>
      <c r="B36" s="10">
        <v>7.0</v>
      </c>
      <c r="C36" s="10">
        <v>61.0</v>
      </c>
      <c r="D36" s="10">
        <v>10.0</v>
      </c>
      <c r="E36" s="11">
        <v>6.1</v>
      </c>
      <c r="F36" s="12">
        <v>0.1218</v>
      </c>
      <c r="G36" s="10">
        <v>27.0</v>
      </c>
      <c r="H36" s="10" t="s">
        <v>23</v>
      </c>
      <c r="I36" s="10" t="s">
        <v>9</v>
      </c>
      <c r="J36" s="10" t="s">
        <v>48</v>
      </c>
      <c r="K36" s="10" t="s">
        <v>49</v>
      </c>
      <c r="L36" s="13">
        <v>4.0</v>
      </c>
      <c r="M36" s="13">
        <v>3.0</v>
      </c>
      <c r="N36" s="13">
        <v>1.0</v>
      </c>
      <c r="O36" s="13">
        <v>6.0</v>
      </c>
      <c r="P36" s="10" t="s">
        <v>23</v>
      </c>
      <c r="Q36" s="10" t="s">
        <v>23</v>
      </c>
      <c r="R36" s="10"/>
      <c r="S36" s="10" t="s">
        <v>23</v>
      </c>
      <c r="T36" s="10"/>
      <c r="U36" s="10" t="s">
        <v>23</v>
      </c>
    </row>
    <row r="37">
      <c r="A37" s="9" t="str">
        <f>HYPERLINK("https://docs.google.com/spreadsheets/d/18wmIvmUS3SeZNSPQeUzr6sPl9GBYpVSlOaFR_kJCmKo/edit?usp=sharing","Jerri Manthey")</f>
        <v>Jerri Manthey</v>
      </c>
      <c r="B37" s="10">
        <v>2.0</v>
      </c>
      <c r="C37" s="10">
        <v>60.0</v>
      </c>
      <c r="D37" s="10">
        <v>9.0</v>
      </c>
      <c r="E37" s="11">
        <v>6.67</v>
      </c>
      <c r="F37" s="12">
        <v>0.107</v>
      </c>
      <c r="G37" s="10">
        <v>27.0</v>
      </c>
      <c r="H37" s="10" t="s">
        <v>23</v>
      </c>
      <c r="I37" s="10" t="s">
        <v>9</v>
      </c>
      <c r="J37" s="10" t="s">
        <v>48</v>
      </c>
      <c r="K37" s="10" t="s">
        <v>49</v>
      </c>
      <c r="L37" s="13">
        <v>5.0</v>
      </c>
      <c r="M37" s="13">
        <v>2.0</v>
      </c>
      <c r="N37" s="13" t="s">
        <v>23</v>
      </c>
      <c r="O37" s="13">
        <v>6.0</v>
      </c>
      <c r="P37" s="10" t="s">
        <v>23</v>
      </c>
      <c r="Q37" s="10" t="s">
        <v>23</v>
      </c>
      <c r="R37" s="10"/>
      <c r="S37" s="10" t="s">
        <v>23</v>
      </c>
      <c r="T37" s="10"/>
      <c r="U37" s="10" t="s">
        <v>23</v>
      </c>
    </row>
    <row r="38">
      <c r="A38" s="9" t="str">
        <f>HYPERLINK("https://docs.google.com/spreadsheets/d/1hg_GT4r2smQsgkwEYBqHOukVavnNSyncsyfceWDpOho/edit?usp=sharing","Rupert Boneham")</f>
        <v>Rupert Boneham</v>
      </c>
      <c r="B38" s="10">
        <v>8.0</v>
      </c>
      <c r="C38" s="10">
        <v>59.0</v>
      </c>
      <c r="D38" s="10">
        <v>15.0</v>
      </c>
      <c r="E38" s="11">
        <v>3.93</v>
      </c>
      <c r="F38" s="12">
        <v>0.1164</v>
      </c>
      <c r="G38" s="10">
        <v>37.0</v>
      </c>
      <c r="H38" s="10" t="s">
        <v>23</v>
      </c>
      <c r="I38" s="10" t="s">
        <v>9</v>
      </c>
      <c r="J38" s="10" t="s">
        <v>37</v>
      </c>
      <c r="K38" s="10" t="s">
        <v>41</v>
      </c>
      <c r="L38" s="13">
        <v>9.0</v>
      </c>
      <c r="M38" s="13">
        <v>4.0</v>
      </c>
      <c r="N38" s="13" t="s">
        <v>23</v>
      </c>
      <c r="O38" s="13">
        <v>8.0</v>
      </c>
      <c r="P38" s="10" t="s">
        <v>23</v>
      </c>
      <c r="Q38" s="10" t="s">
        <v>23</v>
      </c>
      <c r="R38" s="10"/>
      <c r="S38" s="10" t="s">
        <v>23</v>
      </c>
      <c r="T38" s="10"/>
      <c r="U38" s="10" t="s">
        <v>23</v>
      </c>
    </row>
    <row r="39">
      <c r="A39" s="9" t="str">
        <f>HYPERLINK("https://docs.google.com/spreadsheets/d/1ReMaq-fM8zzflOjjrMrgnxEsdZxPIPIJqiZ9cCLO3cE/edit?usp=sharing","Lisa Whelchel")</f>
        <v>Lisa Whelchel</v>
      </c>
      <c r="B39" s="10">
        <v>25.0</v>
      </c>
      <c r="C39" s="10">
        <v>58.0</v>
      </c>
      <c r="D39" s="10">
        <v>14.0</v>
      </c>
      <c r="E39" s="11">
        <v>4.14</v>
      </c>
      <c r="F39" s="12">
        <v>0.1333</v>
      </c>
      <c r="G39" s="10">
        <v>39.0</v>
      </c>
      <c r="H39" s="10" t="s">
        <v>23</v>
      </c>
      <c r="I39" s="10" t="s">
        <v>9</v>
      </c>
      <c r="J39" s="10" t="s">
        <v>50</v>
      </c>
      <c r="K39" s="10" t="s">
        <v>51</v>
      </c>
      <c r="L39" s="13">
        <v>10.0</v>
      </c>
      <c r="M39" s="13">
        <v>6.0</v>
      </c>
      <c r="N39" s="13" t="s">
        <v>23</v>
      </c>
      <c r="O39" s="13">
        <v>9.0</v>
      </c>
      <c r="P39" s="10" t="s">
        <v>23</v>
      </c>
      <c r="Q39" s="10" t="s">
        <v>23</v>
      </c>
      <c r="R39" s="10"/>
      <c r="S39" s="10" t="s">
        <v>23</v>
      </c>
      <c r="T39" s="10"/>
      <c r="U39" s="10" t="s">
        <v>23</v>
      </c>
    </row>
    <row r="40">
      <c r="A40" s="15" t="str">
        <f>HYPERLINK("https://docs.google.com/spreadsheets/d/1d8Hzm_QCJnDef8NF_dVYBZLjLjFI3Fl8Yt14m8Zhn8Y/edit?usp=sharing","Tom Westman")</f>
        <v>Tom Westman</v>
      </c>
      <c r="B40" s="13">
        <v>10.0</v>
      </c>
      <c r="C40" s="13">
        <v>57.0</v>
      </c>
      <c r="D40" s="13">
        <v>14.0</v>
      </c>
      <c r="E40" s="16">
        <v>4.07</v>
      </c>
      <c r="F40" s="17">
        <v>0.1335</v>
      </c>
      <c r="G40" s="13">
        <v>39.0</v>
      </c>
      <c r="H40" s="13" t="s">
        <v>23</v>
      </c>
      <c r="I40" s="13" t="s">
        <v>42</v>
      </c>
      <c r="J40" s="13" t="s">
        <v>28</v>
      </c>
      <c r="K40" s="13" t="s">
        <v>36</v>
      </c>
      <c r="L40" s="13">
        <v>10.0</v>
      </c>
      <c r="M40" s="13">
        <v>7.0</v>
      </c>
      <c r="N40" s="13">
        <v>5.0</v>
      </c>
      <c r="O40" s="13">
        <v>9.0</v>
      </c>
      <c r="P40" s="13" t="s">
        <v>23</v>
      </c>
      <c r="Q40" s="13" t="s">
        <v>23</v>
      </c>
      <c r="R40" s="13"/>
      <c r="S40" s="13" t="s">
        <v>23</v>
      </c>
      <c r="T40" s="13" t="s">
        <v>23</v>
      </c>
      <c r="U40" s="13" t="s">
        <v>23</v>
      </c>
    </row>
    <row r="41">
      <c r="A41" s="15" t="str">
        <f>HYPERLINK("https://docs.google.com/spreadsheets/d/1VEbyebFdBtPJKQC_U2uGrW6_v1fn6Hsoz3YYLyCxHR0/edit?usp=sharing","Terry Deitz")</f>
        <v>Terry Deitz</v>
      </c>
      <c r="B41" s="13">
        <v>12.0</v>
      </c>
      <c r="C41" s="13">
        <v>57.0</v>
      </c>
      <c r="D41" s="13">
        <v>14.0</v>
      </c>
      <c r="E41" s="16">
        <v>4.07</v>
      </c>
      <c r="F41" s="17">
        <v>0.0124</v>
      </c>
      <c r="G41" s="13">
        <v>38.0</v>
      </c>
      <c r="H41" s="13" t="s">
        <v>23</v>
      </c>
      <c r="I41" s="13" t="s">
        <v>9</v>
      </c>
      <c r="J41" s="13" t="s">
        <v>24</v>
      </c>
      <c r="K41" s="13" t="s">
        <v>25</v>
      </c>
      <c r="L41" s="13">
        <v>9.0</v>
      </c>
      <c r="M41" s="13">
        <v>3.0</v>
      </c>
      <c r="N41" s="13">
        <v>5.0</v>
      </c>
      <c r="O41" s="13">
        <v>10.0</v>
      </c>
      <c r="P41" s="13">
        <v>4.0</v>
      </c>
      <c r="Q41" s="13" t="s">
        <v>23</v>
      </c>
      <c r="R41" s="13"/>
      <c r="S41" s="13">
        <v>1.0</v>
      </c>
      <c r="T41" s="13" t="s">
        <v>23</v>
      </c>
      <c r="U41" s="13" t="s">
        <v>23</v>
      </c>
    </row>
    <row r="42">
      <c r="A42" s="15" t="str">
        <f>HYPERLINK("https://docs.google.com/spreadsheets/d/1t379i2CYDM1ZVdZZy_Nj2m3ht6Sp4J68-xZ2v4-PIMo/edit?usp=sharing","Michele Fitzgerald")</f>
        <v>Michele Fitzgerald</v>
      </c>
      <c r="B42" s="13">
        <v>32.0</v>
      </c>
      <c r="C42" s="13">
        <v>57.0</v>
      </c>
      <c r="D42" s="13">
        <v>14.0</v>
      </c>
      <c r="E42" s="16">
        <v>4.07</v>
      </c>
      <c r="F42" s="17">
        <v>0.1154</v>
      </c>
      <c r="G42" s="13">
        <v>39.0</v>
      </c>
      <c r="H42" s="13">
        <v>2.0</v>
      </c>
      <c r="I42" s="13" t="s">
        <v>9</v>
      </c>
      <c r="J42" s="13" t="s">
        <v>28</v>
      </c>
      <c r="K42" s="13" t="s">
        <v>29</v>
      </c>
      <c r="L42" s="13">
        <v>9.0</v>
      </c>
      <c r="M42" s="13">
        <v>6.0</v>
      </c>
      <c r="N42" s="13">
        <v>2.0</v>
      </c>
      <c r="O42" s="13">
        <v>7.0</v>
      </c>
      <c r="P42" s="13" t="s">
        <v>23</v>
      </c>
      <c r="Q42" s="13" t="s">
        <v>23</v>
      </c>
      <c r="R42" s="13"/>
      <c r="S42" s="13" t="s">
        <v>23</v>
      </c>
      <c r="T42" s="13"/>
      <c r="U42" s="13" t="s">
        <v>23</v>
      </c>
    </row>
    <row r="43">
      <c r="A43" s="9" t="str">
        <f>HYPERLINK("https://docs.google.com/spreadsheets/d/18wmIvmUS3SeZNSPQeUzr6sPl9GBYpVSlOaFR_kJCmKo/edit?usp=sharing","Elisabeth Filarski")</f>
        <v>Elisabeth Filarski</v>
      </c>
      <c r="B43" s="10">
        <v>2.0</v>
      </c>
      <c r="C43" s="10">
        <v>57.0</v>
      </c>
      <c r="D43" s="10">
        <v>13.0</v>
      </c>
      <c r="E43" s="11">
        <v>4.38</v>
      </c>
      <c r="F43" s="12">
        <v>0.1016</v>
      </c>
      <c r="G43" s="10">
        <v>39.0</v>
      </c>
      <c r="H43" s="10">
        <v>2.0</v>
      </c>
      <c r="I43" s="10" t="s">
        <v>9</v>
      </c>
      <c r="J43" s="10" t="s">
        <v>37</v>
      </c>
      <c r="K43" s="10" t="s">
        <v>38</v>
      </c>
      <c r="L43" s="13">
        <v>4.0</v>
      </c>
      <c r="M43" s="13">
        <v>3.0</v>
      </c>
      <c r="N43" s="13" t="s">
        <v>23</v>
      </c>
      <c r="O43" s="13">
        <v>9.0</v>
      </c>
      <c r="P43" s="10" t="s">
        <v>23</v>
      </c>
      <c r="Q43" s="10" t="s">
        <v>23</v>
      </c>
      <c r="R43" s="10"/>
      <c r="S43" s="10" t="s">
        <v>23</v>
      </c>
      <c r="T43" s="10"/>
      <c r="U43" s="10" t="s">
        <v>23</v>
      </c>
    </row>
    <row r="44">
      <c r="A44" s="9" t="str">
        <f>HYPERLINK("https://docs.google.com/spreadsheets/d/1nRsx7fR5xbH1eAbI_vBDvqXOgh7mXIwmZNhzrVL6oGM/edit?usp=sharing","Sean Rector")</f>
        <v>Sean Rector</v>
      </c>
      <c r="B44" s="10">
        <v>4.0</v>
      </c>
      <c r="C44" s="10">
        <v>57.0</v>
      </c>
      <c r="D44" s="10">
        <v>12.0</v>
      </c>
      <c r="E44" s="11">
        <v>4.75</v>
      </c>
      <c r="F44" s="12">
        <v>0.1192</v>
      </c>
      <c r="G44" s="10">
        <v>36.0</v>
      </c>
      <c r="H44" s="10" t="s">
        <v>23</v>
      </c>
      <c r="I44" s="10" t="s">
        <v>9</v>
      </c>
      <c r="J44" s="10" t="s">
        <v>46</v>
      </c>
      <c r="K44" s="10" t="s">
        <v>52</v>
      </c>
      <c r="L44" s="13">
        <v>2.0</v>
      </c>
      <c r="M44" s="13">
        <v>2.0</v>
      </c>
      <c r="N44" s="13" t="s">
        <v>23</v>
      </c>
      <c r="O44" s="13">
        <v>10.0</v>
      </c>
      <c r="P44" s="10" t="s">
        <v>23</v>
      </c>
      <c r="Q44" s="10" t="s">
        <v>23</v>
      </c>
      <c r="R44" s="10"/>
      <c r="S44" s="10" t="s">
        <v>23</v>
      </c>
      <c r="T44" s="10"/>
      <c r="U44" s="10" t="s">
        <v>23</v>
      </c>
    </row>
    <row r="45">
      <c r="A45" s="9" t="str">
        <f>HYPERLINK("https://docs.google.com/spreadsheets/d/14eN4V4imd53x81UQVckjyAx_2xIFGXJ8NE4XmE1oDkg/edit?usp=sharing","Sean Kernniff")</f>
        <v>Sean Kernniff</v>
      </c>
      <c r="B45" s="10">
        <v>1.0</v>
      </c>
      <c r="C45" s="10">
        <v>57.0</v>
      </c>
      <c r="D45" s="10">
        <v>12.0</v>
      </c>
      <c r="E45" s="11">
        <v>4.75</v>
      </c>
      <c r="F45" s="14">
        <v>0.0868</v>
      </c>
      <c r="G45" s="10">
        <v>36.0</v>
      </c>
      <c r="H45" s="10" t="s">
        <v>23</v>
      </c>
      <c r="I45" s="10" t="s">
        <v>9</v>
      </c>
      <c r="J45" s="10" t="s">
        <v>46</v>
      </c>
      <c r="K45" s="10" t="s">
        <v>52</v>
      </c>
      <c r="L45" s="13">
        <v>4.0</v>
      </c>
      <c r="M45" s="13">
        <v>3.0</v>
      </c>
      <c r="N45" s="13" t="s">
        <v>23</v>
      </c>
      <c r="O45" s="13">
        <v>9.0</v>
      </c>
      <c r="P45" s="10" t="s">
        <v>23</v>
      </c>
      <c r="Q45" s="10" t="s">
        <v>23</v>
      </c>
      <c r="R45" s="10"/>
      <c r="S45" s="10" t="s">
        <v>23</v>
      </c>
      <c r="T45" s="10"/>
      <c r="U45" s="10" t="s">
        <v>23</v>
      </c>
    </row>
    <row r="46">
      <c r="A46" s="9" t="str">
        <f>HYPERLINK("https://docs.google.com/spreadsheets/d/1EsGJrNyA7pLwFUlZ6WfOkbnPz58Cle9N9c6epQSDRVA/edit?usp=sharing","Spencer Bledsoe")</f>
        <v>Spencer Bledsoe</v>
      </c>
      <c r="B46" s="10">
        <v>31.0</v>
      </c>
      <c r="C46" s="10">
        <v>56.0</v>
      </c>
      <c r="D46" s="10">
        <v>14.0</v>
      </c>
      <c r="E46" s="11">
        <v>4.0</v>
      </c>
      <c r="F46" s="12">
        <v>0.1279</v>
      </c>
      <c r="G46" s="10">
        <v>39.0</v>
      </c>
      <c r="H46" s="10" t="s">
        <v>23</v>
      </c>
      <c r="I46" s="10" t="s">
        <v>9</v>
      </c>
      <c r="J46" s="10" t="s">
        <v>50</v>
      </c>
      <c r="K46" s="10" t="s">
        <v>53</v>
      </c>
      <c r="L46" s="13">
        <v>6.0</v>
      </c>
      <c r="M46" s="13">
        <v>2.0</v>
      </c>
      <c r="N46" s="13">
        <v>3.0</v>
      </c>
      <c r="O46" s="13">
        <v>15.0</v>
      </c>
      <c r="P46" s="10" t="s">
        <v>23</v>
      </c>
      <c r="Q46" s="10" t="s">
        <v>23</v>
      </c>
      <c r="R46" s="10"/>
      <c r="S46" s="10" t="s">
        <v>23</v>
      </c>
      <c r="T46" s="10"/>
      <c r="U46" s="10" t="s">
        <v>23</v>
      </c>
    </row>
    <row r="47">
      <c r="A47" s="15" t="str">
        <f>HYPERLINK("https://docs.google.com/spreadsheets/d/1ZajpFwOHrMmupCcACeLhLTzPOwhTrjKRR1FJtUgeLww/edit?usp=sharing","David Wright")</f>
        <v>David Wright</v>
      </c>
      <c r="B47" s="13">
        <v>33.0</v>
      </c>
      <c r="C47" s="13">
        <v>56.0</v>
      </c>
      <c r="D47" s="13">
        <v>14.0</v>
      </c>
      <c r="E47" s="16">
        <v>4.0</v>
      </c>
      <c r="F47" s="17">
        <v>0.1287</v>
      </c>
      <c r="G47" s="13">
        <v>38.0</v>
      </c>
      <c r="H47" s="13" t="s">
        <v>23</v>
      </c>
      <c r="I47" s="13" t="s">
        <v>9</v>
      </c>
      <c r="J47" s="13" t="s">
        <v>54</v>
      </c>
      <c r="K47" s="13" t="s">
        <v>55</v>
      </c>
      <c r="L47" s="13">
        <v>8.0</v>
      </c>
      <c r="M47" s="13">
        <v>3.0</v>
      </c>
      <c r="N47" s="13">
        <v>2.0</v>
      </c>
      <c r="O47" s="13">
        <v>14.0</v>
      </c>
      <c r="P47" s="13" t="s">
        <v>23</v>
      </c>
      <c r="Q47" s="13" t="s">
        <v>23</v>
      </c>
      <c r="R47" s="13"/>
      <c r="S47" s="13">
        <v>2.0</v>
      </c>
      <c r="T47" s="13" t="s">
        <v>23</v>
      </c>
      <c r="U47" s="13" t="s">
        <v>23</v>
      </c>
    </row>
    <row r="48">
      <c r="A48" s="9" t="str">
        <f>HYPERLINK("https://docs.google.com/spreadsheets/d/1iNFGyKFcJm-tPp7Dg94yi7mHCDbJssmAD_PiaDM_tAE/edit?usp=sharing","Jon Misch")</f>
        <v>Jon Misch</v>
      </c>
      <c r="B48" s="10">
        <v>29.0</v>
      </c>
      <c r="C48" s="10">
        <v>56.0</v>
      </c>
      <c r="D48" s="10">
        <v>13.0</v>
      </c>
      <c r="E48" s="11">
        <v>4.31</v>
      </c>
      <c r="F48" s="12">
        <v>0.1258</v>
      </c>
      <c r="G48" s="10">
        <v>35.0</v>
      </c>
      <c r="H48" s="10">
        <v>1.0</v>
      </c>
      <c r="I48" s="10" t="s">
        <v>9</v>
      </c>
      <c r="J48" s="10" t="s">
        <v>37</v>
      </c>
      <c r="K48" s="10" t="s">
        <v>56</v>
      </c>
      <c r="L48" s="23">
        <v>7.0</v>
      </c>
      <c r="M48" s="23">
        <v>3.0</v>
      </c>
      <c r="N48" s="23">
        <v>1.0</v>
      </c>
      <c r="O48" s="23">
        <v>9.0</v>
      </c>
      <c r="P48" s="23">
        <v>2.0</v>
      </c>
      <c r="Q48" s="23" t="s">
        <v>23</v>
      </c>
      <c r="R48" s="23"/>
      <c r="S48" s="23">
        <v>2.0</v>
      </c>
      <c r="T48" s="23"/>
      <c r="U48" s="10" t="s">
        <v>23</v>
      </c>
    </row>
    <row r="49">
      <c r="A49" s="9" t="str">
        <f>HYPERLINK("https://docs.google.com/spreadsheets/d/14eN4V4imd53x81UQVckjyAx_2xIFGXJ8NE4XmE1oDkg/edit?usp=sharing","Gervase Peterson")</f>
        <v>Gervase Peterson</v>
      </c>
      <c r="B49" s="10">
        <v>1.0</v>
      </c>
      <c r="C49" s="10">
        <v>56.0</v>
      </c>
      <c r="D49" s="10">
        <v>10.0</v>
      </c>
      <c r="E49" s="11">
        <v>5.6</v>
      </c>
      <c r="F49" s="14">
        <v>0.0852</v>
      </c>
      <c r="G49" s="10">
        <v>30.0</v>
      </c>
      <c r="H49" s="10">
        <v>1.0</v>
      </c>
      <c r="I49" s="10" t="s">
        <v>9</v>
      </c>
      <c r="J49" s="10" t="s">
        <v>43</v>
      </c>
      <c r="K49" s="10" t="s">
        <v>57</v>
      </c>
      <c r="L49" s="13">
        <v>5.0</v>
      </c>
      <c r="M49" s="13">
        <v>3.0</v>
      </c>
      <c r="N49" s="13">
        <v>1.0</v>
      </c>
      <c r="O49" s="13">
        <v>7.0</v>
      </c>
      <c r="P49" s="10" t="s">
        <v>23</v>
      </c>
      <c r="Q49" s="10" t="s">
        <v>23</v>
      </c>
      <c r="R49" s="10"/>
      <c r="S49" s="10" t="s">
        <v>23</v>
      </c>
      <c r="T49" s="10"/>
      <c r="U49" s="10" t="s">
        <v>23</v>
      </c>
    </row>
    <row r="50">
      <c r="A50" s="9" t="str">
        <f>HYPERLINK("https://docs.google.com/spreadsheets/d/1tPYt5CqjX32YXnh0BRsechvszEP2n4_ePabpiRTSzqE/edit?usp=sharing","Sandra Diaz-Twine")</f>
        <v>Sandra Diaz-Twine</v>
      </c>
      <c r="B50" s="10">
        <v>7.0</v>
      </c>
      <c r="C50" s="10">
        <v>55.0</v>
      </c>
      <c r="D50" s="10">
        <v>14.0</v>
      </c>
      <c r="E50" s="11">
        <v>3.93</v>
      </c>
      <c r="F50" s="12">
        <v>0.1098</v>
      </c>
      <c r="G50" s="10">
        <v>39.0</v>
      </c>
      <c r="H50" s="10" t="s">
        <v>23</v>
      </c>
      <c r="I50" s="10" t="s">
        <v>9</v>
      </c>
      <c r="J50" s="10" t="s">
        <v>28</v>
      </c>
      <c r="K50" s="10" t="s">
        <v>30</v>
      </c>
      <c r="L50" s="13">
        <v>4.0</v>
      </c>
      <c r="M50" s="13">
        <v>3.0</v>
      </c>
      <c r="N50" s="13" t="s">
        <v>23</v>
      </c>
      <c r="O50" s="13">
        <v>13.0</v>
      </c>
      <c r="P50" s="10" t="s">
        <v>23</v>
      </c>
      <c r="Q50" s="10" t="s">
        <v>23</v>
      </c>
      <c r="R50" s="10"/>
      <c r="S50" s="10" t="s">
        <v>23</v>
      </c>
      <c r="T50" s="10"/>
      <c r="U50" s="10" t="s">
        <v>23</v>
      </c>
    </row>
    <row r="51">
      <c r="A51" s="9" t="str">
        <f>HYPERLINK("https://docs.google.com/spreadsheets/d/1EZNO7rY3X3GsqJDX9iY8RpZJJDJ-K4nm_Mxm1g397N0/edit?usp=sharing","Tom Buchanan")</f>
        <v>Tom Buchanan</v>
      </c>
      <c r="B51" s="10">
        <v>3.0</v>
      </c>
      <c r="C51" s="10">
        <v>55.0</v>
      </c>
      <c r="D51" s="10">
        <v>13.0</v>
      </c>
      <c r="E51" s="11">
        <v>4.23</v>
      </c>
      <c r="F51" s="12">
        <v>0.11</v>
      </c>
      <c r="G51" s="10">
        <v>37.0</v>
      </c>
      <c r="H51" s="10" t="s">
        <v>23</v>
      </c>
      <c r="I51" s="10" t="s">
        <v>9</v>
      </c>
      <c r="J51" s="10" t="s">
        <v>37</v>
      </c>
      <c r="K51" s="10" t="s">
        <v>38</v>
      </c>
      <c r="L51" s="13">
        <v>5.0</v>
      </c>
      <c r="M51" s="13">
        <v>3.0</v>
      </c>
      <c r="N51" s="13">
        <v>1.0</v>
      </c>
      <c r="O51" s="13">
        <v>10.0</v>
      </c>
      <c r="P51" s="10" t="s">
        <v>23</v>
      </c>
      <c r="Q51" s="10" t="s">
        <v>23</v>
      </c>
      <c r="R51" s="10"/>
      <c r="S51" s="10" t="s">
        <v>23</v>
      </c>
      <c r="T51" s="10"/>
      <c r="U51" s="10" t="s">
        <v>23</v>
      </c>
    </row>
    <row r="52">
      <c r="A52" s="9" t="str">
        <f>HYPERLINK("https://docs.google.com/spreadsheets/d/1tPYt5CqjX32YXnh0BRsechvszEP2n4_ePabpiRTSzqE/edit?usp=sharing","Lillian Morris")</f>
        <v>Lillian Morris</v>
      </c>
      <c r="B52" s="10">
        <v>7.0</v>
      </c>
      <c r="C52" s="10">
        <v>55.0</v>
      </c>
      <c r="D52" s="10">
        <v>10.0</v>
      </c>
      <c r="E52" s="11">
        <v>5.5</v>
      </c>
      <c r="F52" s="12">
        <v>0.1098</v>
      </c>
      <c r="G52" s="10">
        <v>30.0</v>
      </c>
      <c r="H52" s="10" t="s">
        <v>23</v>
      </c>
      <c r="I52" s="10" t="s">
        <v>9</v>
      </c>
      <c r="J52" s="10" t="s">
        <v>26</v>
      </c>
      <c r="K52" s="10" t="s">
        <v>27</v>
      </c>
      <c r="L52" s="13">
        <v>3.0</v>
      </c>
      <c r="M52" s="13" t="s">
        <v>23</v>
      </c>
      <c r="N52" s="13">
        <v>2.0</v>
      </c>
      <c r="O52" s="13">
        <v>12.0</v>
      </c>
      <c r="P52" s="10" t="s">
        <v>23</v>
      </c>
      <c r="Q52" s="10" t="s">
        <v>23</v>
      </c>
      <c r="R52" s="10"/>
      <c r="S52" s="10" t="s">
        <v>23</v>
      </c>
      <c r="T52" s="10"/>
      <c r="U52" s="10" t="s">
        <v>23</v>
      </c>
    </row>
    <row r="53">
      <c r="A53" s="9" t="str">
        <f>HYPERLINK("https://docs.google.com/spreadsheets/d/1tPYt5CqjX32YXnh0BRsechvszEP2n4_ePabpiRTSzqE/edit?usp=sharing","Jon Dalton")</f>
        <v>Jon Dalton</v>
      </c>
      <c r="B53" s="10">
        <v>7.0</v>
      </c>
      <c r="C53" s="10">
        <v>54.0</v>
      </c>
      <c r="D53" s="10">
        <v>14.0</v>
      </c>
      <c r="E53" s="11">
        <v>3.86</v>
      </c>
      <c r="F53" s="12">
        <v>0.1078</v>
      </c>
      <c r="G53" s="10">
        <v>38.0</v>
      </c>
      <c r="H53" s="10">
        <v>1.0</v>
      </c>
      <c r="I53" s="10" t="s">
        <v>9</v>
      </c>
      <c r="J53" s="10" t="s">
        <v>24</v>
      </c>
      <c r="K53" s="10" t="s">
        <v>25</v>
      </c>
      <c r="L53" s="13">
        <v>8.0</v>
      </c>
      <c r="M53" s="13">
        <v>3.0</v>
      </c>
      <c r="N53" s="13" t="s">
        <v>23</v>
      </c>
      <c r="O53" s="13">
        <v>12.0</v>
      </c>
      <c r="P53" s="10" t="s">
        <v>23</v>
      </c>
      <c r="Q53" s="10" t="s">
        <v>23</v>
      </c>
      <c r="R53" s="10"/>
      <c r="S53" s="10" t="s">
        <v>23</v>
      </c>
      <c r="T53" s="10"/>
      <c r="U53" s="10" t="s">
        <v>23</v>
      </c>
    </row>
    <row r="54">
      <c r="A54" s="15" t="str">
        <f>HYPERLINK("https://docs.google.com/spreadsheets/d/1yi_HtvN4TS5uRWCCFJg5RFaoouiIIe8CAtY_XnqP6iM/edit?usp=sharing","Eliza Orlins")</f>
        <v>Eliza Orlins</v>
      </c>
      <c r="B54" s="13">
        <v>9.0</v>
      </c>
      <c r="C54" s="13">
        <v>54.0</v>
      </c>
      <c r="D54" s="13">
        <v>14.0</v>
      </c>
      <c r="E54" s="16">
        <v>3.86</v>
      </c>
      <c r="F54" s="17">
        <v>0.1289</v>
      </c>
      <c r="G54" s="13">
        <v>37.0</v>
      </c>
      <c r="H54" s="13">
        <v>1.0</v>
      </c>
      <c r="I54" s="13" t="s">
        <v>9</v>
      </c>
      <c r="J54" s="13" t="s">
        <v>37</v>
      </c>
      <c r="K54" s="13" t="s">
        <v>41</v>
      </c>
      <c r="L54" s="13">
        <v>8.0</v>
      </c>
      <c r="M54" s="13">
        <v>3.0</v>
      </c>
      <c r="N54" s="13">
        <v>1.0</v>
      </c>
      <c r="O54" s="13">
        <v>11.0</v>
      </c>
      <c r="P54" s="10" t="s">
        <v>23</v>
      </c>
      <c r="Q54" s="10" t="s">
        <v>23</v>
      </c>
      <c r="R54" s="10"/>
      <c r="S54" s="10" t="s">
        <v>23</v>
      </c>
      <c r="T54" s="10"/>
      <c r="U54" s="10" t="s">
        <v>23</v>
      </c>
    </row>
    <row r="55">
      <c r="A55" s="19" t="str">
        <f>HYPERLINK("https://docs.google.com/spreadsheets/d/1TniiK35-AGMNddj9lkge_tT9QfOGXMfX2thnTv8npTo/edit?usp=sharing","Brian Heidik")</f>
        <v>Brian Heidik</v>
      </c>
      <c r="B55" s="20">
        <v>5.0</v>
      </c>
      <c r="C55" s="21">
        <v>54.0</v>
      </c>
      <c r="D55" s="20">
        <v>13.0</v>
      </c>
      <c r="E55" s="22">
        <v>4.15</v>
      </c>
      <c r="F55" s="14">
        <v>0.1118</v>
      </c>
      <c r="G55" s="21">
        <v>39.0</v>
      </c>
      <c r="H55" s="21" t="s">
        <v>23</v>
      </c>
      <c r="I55" s="10" t="s">
        <v>9</v>
      </c>
      <c r="J55" s="20" t="s">
        <v>28</v>
      </c>
      <c r="K55" s="20" t="s">
        <v>30</v>
      </c>
      <c r="L55" s="13">
        <v>5.0</v>
      </c>
      <c r="M55" s="13">
        <v>5.0</v>
      </c>
      <c r="N55" s="13">
        <v>3.0</v>
      </c>
      <c r="O55" s="13">
        <v>10.0</v>
      </c>
      <c r="P55" s="10" t="s">
        <v>23</v>
      </c>
      <c r="Q55" s="10" t="s">
        <v>23</v>
      </c>
      <c r="R55" s="10"/>
      <c r="S55" s="10" t="s">
        <v>23</v>
      </c>
      <c r="T55" s="10"/>
      <c r="U55" s="10" t="s">
        <v>23</v>
      </c>
    </row>
    <row r="56">
      <c r="A56" s="9" t="str">
        <f>HYPERLINK("https://docs.google.com/spreadsheets/d/14eN4V4imd53x81UQVckjyAx_2xIFGXJ8NE4XmE1oDkg/edit?usp=sharing","Colleen Haskell")</f>
        <v>Colleen Haskell</v>
      </c>
      <c r="B56" s="10">
        <v>1.0</v>
      </c>
      <c r="C56" s="10">
        <v>54.0</v>
      </c>
      <c r="D56" s="10">
        <v>11.0</v>
      </c>
      <c r="E56" s="11">
        <v>4.91</v>
      </c>
      <c r="F56" s="14">
        <v>0.0822</v>
      </c>
      <c r="G56" s="10">
        <v>33.0</v>
      </c>
      <c r="H56" s="10">
        <v>1.0</v>
      </c>
      <c r="I56" s="10" t="s">
        <v>9</v>
      </c>
      <c r="J56" s="10" t="s">
        <v>58</v>
      </c>
      <c r="K56" s="10" t="s">
        <v>59</v>
      </c>
      <c r="L56" s="13">
        <v>5.0</v>
      </c>
      <c r="M56" s="13">
        <v>3.0</v>
      </c>
      <c r="N56" s="13" t="s">
        <v>23</v>
      </c>
      <c r="O56" s="13">
        <v>8.0</v>
      </c>
      <c r="P56" s="10" t="s">
        <v>23</v>
      </c>
      <c r="Q56" s="10" t="s">
        <v>23</v>
      </c>
      <c r="R56" s="10"/>
      <c r="S56" s="10" t="s">
        <v>23</v>
      </c>
      <c r="T56" s="10"/>
      <c r="U56" s="10" t="s">
        <v>23</v>
      </c>
    </row>
    <row r="57">
      <c r="A57" s="9" t="str">
        <f>HYPERLINK("https://docs.google.com/spreadsheets/d/1v6gXy2rHfH0CkzT8zUZyZm6b-WimbnBspkh1B5hksu4/edit?usp=sharing","Kim Spradlin")</f>
        <v>Kim Spradlin</v>
      </c>
      <c r="B57" s="10">
        <v>24.0</v>
      </c>
      <c r="C57" s="10">
        <v>53.0</v>
      </c>
      <c r="D57" s="10">
        <v>14.0</v>
      </c>
      <c r="E57" s="11">
        <v>3.79</v>
      </c>
      <c r="F57" s="12">
        <v>0.1387</v>
      </c>
      <c r="G57" s="10">
        <v>39.0</v>
      </c>
      <c r="H57" s="10">
        <v>1.0</v>
      </c>
      <c r="I57" s="10" t="s">
        <v>9</v>
      </c>
      <c r="J57" s="10" t="s">
        <v>28</v>
      </c>
      <c r="K57" s="10" t="s">
        <v>29</v>
      </c>
      <c r="L57" s="13">
        <v>10.0</v>
      </c>
      <c r="M57" s="13">
        <v>3.0</v>
      </c>
      <c r="N57" s="13">
        <v>4.0</v>
      </c>
      <c r="O57" s="13">
        <v>11.0</v>
      </c>
      <c r="P57" s="10" t="s">
        <v>23</v>
      </c>
      <c r="Q57" s="10" t="s">
        <v>23</v>
      </c>
      <c r="R57" s="10"/>
      <c r="S57" s="10">
        <v>1.0</v>
      </c>
      <c r="T57" s="10"/>
      <c r="U57" s="10" t="s">
        <v>23</v>
      </c>
    </row>
    <row r="58">
      <c r="A58" s="15" t="str">
        <f>HYPERLINK("https://docs.google.com/spreadsheets/d/1ZajpFwOHrMmupCcACeLhLTzPOwhTrjKRR1FJtUgeLww/edit?usp=sharing","Adam Klein")</f>
        <v>Adam Klein</v>
      </c>
      <c r="B58" s="13">
        <v>33.0</v>
      </c>
      <c r="C58" s="13">
        <v>53.0</v>
      </c>
      <c r="D58" s="13">
        <v>14.0</v>
      </c>
      <c r="E58" s="16">
        <v>3.79</v>
      </c>
      <c r="F58" s="17">
        <v>0.1218</v>
      </c>
      <c r="G58" s="13">
        <v>39.0</v>
      </c>
      <c r="H58" s="13" t="s">
        <v>23</v>
      </c>
      <c r="I58" s="13" t="s">
        <v>9</v>
      </c>
      <c r="J58" s="13" t="s">
        <v>28</v>
      </c>
      <c r="K58" s="13" t="s">
        <v>36</v>
      </c>
      <c r="L58" s="13">
        <v>6.0</v>
      </c>
      <c r="M58" s="13">
        <v>5.0</v>
      </c>
      <c r="N58" s="13">
        <v>1.0</v>
      </c>
      <c r="O58" s="13">
        <v>13.0</v>
      </c>
      <c r="P58" s="13" t="s">
        <v>23</v>
      </c>
      <c r="Q58" s="13" t="s">
        <v>23</v>
      </c>
      <c r="R58" s="13"/>
      <c r="S58" s="13">
        <v>2.0</v>
      </c>
      <c r="T58" s="13">
        <v>1.0</v>
      </c>
      <c r="U58" s="13" t="s">
        <v>23</v>
      </c>
    </row>
    <row r="59">
      <c r="A59" s="9" t="str">
        <f>HYPERLINK("https://docs.google.com/spreadsheets/d/1w0I5RoQ7uENhUG1ncC5V9B3b6BQapplx180-f9F9s4w/edit?usp=sharing","Matthew von Ertfelda")</f>
        <v>Matthew von Ertfelda</v>
      </c>
      <c r="B59" s="10">
        <v>6.0</v>
      </c>
      <c r="C59" s="10">
        <v>53.0</v>
      </c>
      <c r="D59" s="10">
        <v>13.0</v>
      </c>
      <c r="E59" s="11">
        <v>4.08</v>
      </c>
      <c r="F59" s="12">
        <v>0.1091</v>
      </c>
      <c r="G59" s="10">
        <v>39.0</v>
      </c>
      <c r="H59" s="10" t="s">
        <v>23</v>
      </c>
      <c r="I59" s="10" t="s">
        <v>9</v>
      </c>
      <c r="J59" s="10" t="s">
        <v>26</v>
      </c>
      <c r="K59" s="10" t="s">
        <v>27</v>
      </c>
      <c r="L59" s="13">
        <v>5.0</v>
      </c>
      <c r="M59" s="13">
        <v>3.0</v>
      </c>
      <c r="N59" s="13">
        <v>2.0</v>
      </c>
      <c r="O59" s="13">
        <v>12.0</v>
      </c>
      <c r="P59" s="10" t="s">
        <v>23</v>
      </c>
      <c r="Q59" s="10" t="s">
        <v>23</v>
      </c>
      <c r="R59" s="10"/>
      <c r="S59" s="10" t="s">
        <v>23</v>
      </c>
      <c r="T59" s="10"/>
      <c r="U59" s="10" t="s">
        <v>23</v>
      </c>
    </row>
    <row r="60">
      <c r="A60" s="9" t="str">
        <f>HYPERLINK("https://docs.google.com/spreadsheets/d/1tPYt5CqjX32YXnh0BRsechvszEP2n4_ePabpiRTSzqE/edit?usp=sharing","Burton Roberts")</f>
        <v>Burton Roberts</v>
      </c>
      <c r="B60" s="10">
        <v>7.0</v>
      </c>
      <c r="C60" s="10">
        <v>53.0</v>
      </c>
      <c r="D60" s="10">
        <v>10.0</v>
      </c>
      <c r="E60" s="11">
        <v>5.3</v>
      </c>
      <c r="F60" s="12">
        <v>0.1058</v>
      </c>
      <c r="G60" s="10">
        <v>30.0</v>
      </c>
      <c r="H60" s="10" t="s">
        <v>23</v>
      </c>
      <c r="I60" s="10" t="s">
        <v>9</v>
      </c>
      <c r="J60" s="10" t="s">
        <v>46</v>
      </c>
      <c r="K60" s="10" t="s">
        <v>52</v>
      </c>
      <c r="L60" s="13">
        <v>5.0</v>
      </c>
      <c r="M60" s="13">
        <v>3.0</v>
      </c>
      <c r="N60" s="13">
        <v>2.0</v>
      </c>
      <c r="O60" s="13">
        <v>7.0</v>
      </c>
      <c r="P60" s="10" t="s">
        <v>23</v>
      </c>
      <c r="Q60" s="10" t="s">
        <v>23</v>
      </c>
      <c r="R60" s="10"/>
      <c r="S60" s="10" t="s">
        <v>23</v>
      </c>
      <c r="T60" s="10"/>
      <c r="U60" s="10" t="s">
        <v>23</v>
      </c>
    </row>
    <row r="61">
      <c r="A61" s="9" t="str">
        <f>HYPERLINK("https://docs.google.com/spreadsheets/d/1HA0vQC0CSnQtVc8u58vwNd3sIFCc79SKVqM1abMG1hI/edit?usp=sharing","Rodney Lavoie Jr.")</f>
        <v>Rodney Lavoie Jr.</v>
      </c>
      <c r="B61" s="10">
        <v>30.0</v>
      </c>
      <c r="C61" s="10">
        <v>52.0</v>
      </c>
      <c r="D61" s="10">
        <v>14.0</v>
      </c>
      <c r="E61" s="11">
        <v>3.71</v>
      </c>
      <c r="F61" s="12">
        <v>0.1138</v>
      </c>
      <c r="G61" s="10">
        <v>38.0</v>
      </c>
      <c r="H61" s="10" t="s">
        <v>23</v>
      </c>
      <c r="I61" s="10" t="s">
        <v>9</v>
      </c>
      <c r="J61" s="10" t="s">
        <v>40</v>
      </c>
      <c r="K61" s="10" t="s">
        <v>41</v>
      </c>
      <c r="L61" s="13">
        <v>6.0</v>
      </c>
      <c r="M61" s="13">
        <v>4.0</v>
      </c>
      <c r="N61" s="13" t="s">
        <v>23</v>
      </c>
      <c r="O61" s="13">
        <v>11.0</v>
      </c>
      <c r="P61" s="10" t="s">
        <v>23</v>
      </c>
      <c r="Q61" s="10" t="s">
        <v>23</v>
      </c>
      <c r="R61" s="10"/>
      <c r="S61" s="10" t="s">
        <v>23</v>
      </c>
      <c r="T61" s="10"/>
      <c r="U61" s="10" t="s">
        <v>23</v>
      </c>
    </row>
    <row r="62">
      <c r="A62" s="15" t="str">
        <f>HYPERLINK("https://docs.google.com/spreadsheets/d/1sWOJC8eB6rVdXdWiWMgfbfgw2325jIh1ODKxyaCmSGc/edit?usp=sharing","Rafe Judkins")</f>
        <v>Rafe Judkins</v>
      </c>
      <c r="B62" s="13">
        <v>11.0</v>
      </c>
      <c r="C62" s="13">
        <v>52.0</v>
      </c>
      <c r="D62" s="13">
        <v>14.0</v>
      </c>
      <c r="E62" s="16">
        <v>3.71</v>
      </c>
      <c r="F62" s="17">
        <v>0.1179</v>
      </c>
      <c r="G62" s="13">
        <v>38.0</v>
      </c>
      <c r="H62" s="13">
        <v>1.0</v>
      </c>
      <c r="I62" s="13" t="s">
        <v>9</v>
      </c>
      <c r="J62" s="13" t="s">
        <v>24</v>
      </c>
      <c r="K62" s="13" t="s">
        <v>34</v>
      </c>
      <c r="L62" s="13">
        <v>4.0</v>
      </c>
      <c r="M62" s="13">
        <v>3.0</v>
      </c>
      <c r="N62" s="13">
        <v>4.0</v>
      </c>
      <c r="O62" s="13">
        <v>12.0</v>
      </c>
      <c r="P62" s="13" t="s">
        <v>23</v>
      </c>
      <c r="Q62" s="13" t="s">
        <v>23</v>
      </c>
      <c r="R62" s="13"/>
      <c r="S62" s="13" t="s">
        <v>23</v>
      </c>
      <c r="T62" s="13" t="s">
        <v>23</v>
      </c>
      <c r="U62" s="13" t="s">
        <v>23</v>
      </c>
    </row>
    <row r="63">
      <c r="A63" s="19" t="str">
        <f>HYPERLINK("https://docs.google.com/spreadsheets/d/1TniiK35-AGMNddj9lkge_tT9QfOGXMfX2thnTv8npTo/edit?usp=sharing","Ted Rogers, Jr.")</f>
        <v>Ted Rogers, Jr.</v>
      </c>
      <c r="B63" s="20">
        <v>5.0</v>
      </c>
      <c r="C63" s="21">
        <v>52.0</v>
      </c>
      <c r="D63" s="20">
        <v>12.0</v>
      </c>
      <c r="E63" s="22">
        <v>4.33</v>
      </c>
      <c r="F63" s="14">
        <v>0.1077</v>
      </c>
      <c r="G63" s="21">
        <v>36.0</v>
      </c>
      <c r="H63" s="21">
        <v>1.0</v>
      </c>
      <c r="I63" s="10" t="s">
        <v>9</v>
      </c>
      <c r="J63" s="21" t="s">
        <v>46</v>
      </c>
      <c r="K63" s="20" t="s">
        <v>52</v>
      </c>
      <c r="L63" s="13">
        <v>4.0</v>
      </c>
      <c r="M63" s="13">
        <v>5.0</v>
      </c>
      <c r="N63" s="13">
        <v>1.0</v>
      </c>
      <c r="O63" s="13">
        <v>7.0</v>
      </c>
      <c r="P63" s="10" t="s">
        <v>23</v>
      </c>
      <c r="Q63" s="10" t="s">
        <v>23</v>
      </c>
      <c r="R63" s="10"/>
      <c r="S63" s="10" t="s">
        <v>23</v>
      </c>
      <c r="T63" s="10"/>
      <c r="U63" s="10" t="s">
        <v>23</v>
      </c>
    </row>
    <row r="64">
      <c r="A64" s="15" t="str">
        <f>HYPERLINK("https://docs.google.com/spreadsheets/d/1q-5bbq9txg93Y0eUACxRPTIN5PuRjeDVpNDfeXEw4iE/edit?usp=sharing","Chrissy Hofbeck")</f>
        <v>Chrissy Hofbeck</v>
      </c>
      <c r="B64" s="13">
        <v>35.0</v>
      </c>
      <c r="C64" s="13">
        <v>51.0</v>
      </c>
      <c r="D64" s="13">
        <v>14.0</v>
      </c>
      <c r="E64" s="16">
        <v>3.64</v>
      </c>
      <c r="F64" s="17">
        <v>0.1183</v>
      </c>
      <c r="G64" s="13">
        <v>39.0</v>
      </c>
      <c r="H64" s="13">
        <v>1.0</v>
      </c>
      <c r="I64" s="13" t="s">
        <v>9</v>
      </c>
      <c r="J64" s="13" t="s">
        <v>31</v>
      </c>
      <c r="K64" s="13" t="s">
        <v>32</v>
      </c>
      <c r="L64" s="13">
        <v>10.0</v>
      </c>
      <c r="M64" s="13">
        <v>3.0</v>
      </c>
      <c r="N64" s="13">
        <v>4.0</v>
      </c>
      <c r="O64" s="13">
        <v>13.0</v>
      </c>
      <c r="P64" s="13" t="s">
        <v>23</v>
      </c>
      <c r="Q64" s="13" t="s">
        <v>23</v>
      </c>
      <c r="R64" s="13"/>
      <c r="S64" s="13">
        <v>1.0</v>
      </c>
      <c r="T64" s="13">
        <v>1.0</v>
      </c>
      <c r="U64" s="13" t="s">
        <v>23</v>
      </c>
    </row>
    <row r="65">
      <c r="A65" s="9" t="str">
        <f>HYPERLINK("https://docs.google.com/spreadsheets/d/14eN4V4imd53x81UQVckjyAx_2xIFGXJ8NE4XmE1oDkg/edit?usp=sharing","Rudy Boesch")</f>
        <v>Rudy Boesch</v>
      </c>
      <c r="B65" s="10">
        <v>1.0</v>
      </c>
      <c r="C65" s="10">
        <v>51.0</v>
      </c>
      <c r="D65" s="10">
        <v>13.0</v>
      </c>
      <c r="E65" s="11">
        <v>3.92</v>
      </c>
      <c r="F65" s="14">
        <v>0.0776</v>
      </c>
      <c r="G65" s="10">
        <v>38.0</v>
      </c>
      <c r="H65" s="10" t="s">
        <v>23</v>
      </c>
      <c r="I65" s="10" t="s">
        <v>9</v>
      </c>
      <c r="J65" s="10" t="s">
        <v>24</v>
      </c>
      <c r="K65" s="10" t="s">
        <v>25</v>
      </c>
      <c r="L65" s="13">
        <v>2.0</v>
      </c>
      <c r="M65" s="13">
        <v>3.0</v>
      </c>
      <c r="N65" s="13">
        <v>1.0</v>
      </c>
      <c r="O65" s="13">
        <v>11.0</v>
      </c>
      <c r="P65" s="10" t="s">
        <v>23</v>
      </c>
      <c r="Q65" s="10" t="s">
        <v>23</v>
      </c>
      <c r="R65" s="10"/>
      <c r="S65" s="10" t="s">
        <v>23</v>
      </c>
      <c r="T65" s="10"/>
      <c r="U65" s="10" t="s">
        <v>23</v>
      </c>
    </row>
    <row r="66">
      <c r="A66" s="9" t="str">
        <f>HYPERLINK("https://docs.google.com/spreadsheets/d/1tPYt5CqjX32YXnh0BRsechvszEP2n4_ePabpiRTSzqE/edit?usp=sharing","Andrew Savage")</f>
        <v>Andrew Savage</v>
      </c>
      <c r="B66" s="10">
        <v>7.0</v>
      </c>
      <c r="C66" s="10">
        <v>51.0</v>
      </c>
      <c r="D66" s="10">
        <v>8.0</v>
      </c>
      <c r="E66" s="11">
        <v>6.38</v>
      </c>
      <c r="F66" s="12">
        <v>0.1018</v>
      </c>
      <c r="G66" s="10">
        <v>21.0</v>
      </c>
      <c r="H66" s="10" t="s">
        <v>23</v>
      </c>
      <c r="I66" s="10" t="s">
        <v>9</v>
      </c>
      <c r="J66" s="10" t="s">
        <v>60</v>
      </c>
      <c r="K66" s="10" t="s">
        <v>61</v>
      </c>
      <c r="L66" s="13">
        <v>1.0</v>
      </c>
      <c r="M66" s="13">
        <v>3.0</v>
      </c>
      <c r="N66" s="13" t="s">
        <v>23</v>
      </c>
      <c r="O66" s="13">
        <v>5.0</v>
      </c>
      <c r="P66" s="10" t="s">
        <v>23</v>
      </c>
      <c r="Q66" s="10" t="s">
        <v>23</v>
      </c>
      <c r="R66" s="10"/>
      <c r="S66" s="10" t="s">
        <v>23</v>
      </c>
      <c r="T66" s="10"/>
      <c r="U66" s="10" t="s">
        <v>23</v>
      </c>
    </row>
    <row r="67">
      <c r="A67" s="15" t="str">
        <f>HYPERLINK("https://docs.google.com/spreadsheets/d/1d8Hzm_QCJnDef8NF_dVYBZLjLjFI3Fl8Yt14m8Zhn8Y/edit?usp=sharing","Ian Rosenberger")</f>
        <v>Ian Rosenberger</v>
      </c>
      <c r="B67" s="13">
        <v>10.0</v>
      </c>
      <c r="C67" s="13">
        <v>50.0</v>
      </c>
      <c r="D67" s="13">
        <v>14.0</v>
      </c>
      <c r="E67" s="16">
        <v>3.57</v>
      </c>
      <c r="F67" s="17">
        <v>0.1171</v>
      </c>
      <c r="G67" s="13">
        <v>38.0</v>
      </c>
      <c r="H67" s="13">
        <v>1.0</v>
      </c>
      <c r="I67" s="13" t="s">
        <v>42</v>
      </c>
      <c r="J67" s="13" t="s">
        <v>24</v>
      </c>
      <c r="K67" s="13" t="s">
        <v>62</v>
      </c>
      <c r="L67" s="13">
        <v>9.0</v>
      </c>
      <c r="M67" s="13">
        <v>7.0</v>
      </c>
      <c r="N67" s="13">
        <v>3.0</v>
      </c>
      <c r="O67" s="13">
        <v>8.0</v>
      </c>
      <c r="P67" s="13" t="s">
        <v>23</v>
      </c>
      <c r="Q67" s="13" t="s">
        <v>23</v>
      </c>
      <c r="R67" s="13"/>
      <c r="S67" s="13" t="s">
        <v>23</v>
      </c>
      <c r="T67" s="13" t="s">
        <v>23</v>
      </c>
      <c r="U67" s="13" t="s">
        <v>23</v>
      </c>
    </row>
    <row r="68">
      <c r="A68" s="9" t="str">
        <f>HYPERLINK("https://docs.google.com/spreadsheets/d/1HA0vQC0CSnQtVc8u58vwNd3sIFCc79SKVqM1abMG1hI/edit?usp=sharing","Carolyn Rivera")</f>
        <v>Carolyn Rivera</v>
      </c>
      <c r="B68" s="10">
        <v>30.0</v>
      </c>
      <c r="C68" s="10">
        <v>50.0</v>
      </c>
      <c r="D68" s="10">
        <v>14.0</v>
      </c>
      <c r="E68" s="11">
        <v>3.57</v>
      </c>
      <c r="F68" s="12">
        <v>0.1094</v>
      </c>
      <c r="G68" s="10">
        <v>39.0</v>
      </c>
      <c r="H68" s="10">
        <v>2.0</v>
      </c>
      <c r="I68" s="10" t="s">
        <v>9</v>
      </c>
      <c r="J68" s="10" t="s">
        <v>50</v>
      </c>
      <c r="K68" s="10" t="s">
        <v>51</v>
      </c>
      <c r="L68" s="13">
        <v>10.0</v>
      </c>
      <c r="M68" s="13">
        <v>4.0</v>
      </c>
      <c r="N68" s="13">
        <v>2.0</v>
      </c>
      <c r="O68" s="13">
        <v>12.0</v>
      </c>
      <c r="P68" s="10" t="s">
        <v>23</v>
      </c>
      <c r="Q68" s="10" t="s">
        <v>23</v>
      </c>
      <c r="R68" s="10"/>
      <c r="S68" s="10">
        <v>1.0</v>
      </c>
      <c r="T68" s="10"/>
      <c r="U68" s="10" t="s">
        <v>23</v>
      </c>
    </row>
    <row r="69">
      <c r="A69" s="15" t="str">
        <f>HYPERLINK("https://docs.google.com/spreadsheets/d/1VEbyebFdBtPJKQC_U2uGrW6_v1fn6Hsoz3YYLyCxHR0/edit?usp=sharing","Aras Baskauskas")</f>
        <v>Aras Baskauskas</v>
      </c>
      <c r="B69" s="13">
        <v>12.0</v>
      </c>
      <c r="C69" s="13">
        <v>50.0</v>
      </c>
      <c r="D69" s="13">
        <v>14.0</v>
      </c>
      <c r="E69" s="16">
        <v>3.57</v>
      </c>
      <c r="F69" s="17">
        <v>0.0074</v>
      </c>
      <c r="G69" s="13">
        <v>39.0</v>
      </c>
      <c r="H69" s="13">
        <v>1.0</v>
      </c>
      <c r="I69" s="13" t="s">
        <v>9</v>
      </c>
      <c r="J69" s="13" t="s">
        <v>28</v>
      </c>
      <c r="K69" s="13" t="s">
        <v>30</v>
      </c>
      <c r="L69" s="13">
        <v>9.0</v>
      </c>
      <c r="M69" s="13">
        <v>4.0</v>
      </c>
      <c r="N69" s="13">
        <v>1.0</v>
      </c>
      <c r="O69" s="13">
        <v>10.0</v>
      </c>
      <c r="P69" s="13">
        <v>2.0</v>
      </c>
      <c r="Q69" s="13" t="s">
        <v>23</v>
      </c>
      <c r="R69" s="13"/>
      <c r="S69" s="13" t="s">
        <v>23</v>
      </c>
      <c r="T69" s="13" t="s">
        <v>23</v>
      </c>
      <c r="U69" s="13" t="s">
        <v>23</v>
      </c>
    </row>
    <row r="70">
      <c r="A70" s="9" t="str">
        <f>HYPERLINK("https://docs.google.com/spreadsheets/d/1nYlVL4RxK2ZUH-a4MfKCalHyEjDRWz2ZumhyoaYsjTE/edit?usp=sharing","NaOnka Mixon")</f>
        <v>NaOnka Mixon</v>
      </c>
      <c r="B70" s="10">
        <v>21.0</v>
      </c>
      <c r="C70" s="10">
        <v>50.0</v>
      </c>
      <c r="D70" s="10">
        <v>11.0</v>
      </c>
      <c r="E70" s="11">
        <v>4.55</v>
      </c>
      <c r="F70" s="12">
        <v>0.1202</v>
      </c>
      <c r="G70" s="10">
        <v>28.0</v>
      </c>
      <c r="H70" s="10" t="s">
        <v>23</v>
      </c>
      <c r="I70" s="10" t="s">
        <v>9</v>
      </c>
      <c r="J70" s="10" t="s">
        <v>58</v>
      </c>
      <c r="K70" s="10" t="s">
        <v>63</v>
      </c>
      <c r="L70" s="13">
        <v>8.0</v>
      </c>
      <c r="M70" s="13">
        <v>4.0</v>
      </c>
      <c r="N70" s="13" t="s">
        <v>23</v>
      </c>
      <c r="O70" s="13">
        <v>6.0</v>
      </c>
      <c r="P70" s="10" t="s">
        <v>23</v>
      </c>
      <c r="Q70" s="10" t="s">
        <v>23</v>
      </c>
      <c r="R70" s="10"/>
      <c r="S70" s="10">
        <v>1.0</v>
      </c>
      <c r="T70" s="10"/>
      <c r="U70" s="10" t="s">
        <v>64</v>
      </c>
    </row>
    <row r="71">
      <c r="A71" s="15" t="str">
        <f>HYPERLINK("https://docs.google.com/spreadsheets/d/1ZajpFwOHrMmupCcACeLhLTzPOwhTrjKRR1FJtUgeLww/edit?usp=sharing","Justin ""Jay"" Starrett")</f>
        <v>Justin "Jay" Starrett</v>
      </c>
      <c r="B71" s="13">
        <v>33.0</v>
      </c>
      <c r="C71" s="13">
        <v>49.0</v>
      </c>
      <c r="D71" s="13">
        <v>14.0</v>
      </c>
      <c r="E71" s="16">
        <v>3.5</v>
      </c>
      <c r="F71" s="17">
        <v>0.1126</v>
      </c>
      <c r="G71" s="13">
        <v>36.0</v>
      </c>
      <c r="H71" s="13" t="s">
        <v>23</v>
      </c>
      <c r="I71" s="13" t="s">
        <v>9</v>
      </c>
      <c r="J71" s="13" t="s">
        <v>40</v>
      </c>
      <c r="K71" s="13" t="s">
        <v>65</v>
      </c>
      <c r="L71" s="13">
        <v>7.0</v>
      </c>
      <c r="M71" s="13">
        <v>5.0</v>
      </c>
      <c r="N71" s="13">
        <v>2.0</v>
      </c>
      <c r="O71" s="13">
        <v>10.0</v>
      </c>
      <c r="P71" s="13" t="s">
        <v>23</v>
      </c>
      <c r="Q71" s="13" t="s">
        <v>23</v>
      </c>
      <c r="R71" s="13"/>
      <c r="S71" s="13">
        <v>1.0</v>
      </c>
      <c r="T71" s="13">
        <v>1.0</v>
      </c>
      <c r="U71" s="13" t="s">
        <v>23</v>
      </c>
    </row>
    <row r="72">
      <c r="A72" s="15" t="str">
        <f>HYPERLINK("https://docs.google.com/spreadsheets/d/1q-5bbq9txg93Y0eUACxRPTIN5PuRjeDVpNDfeXEw4iE/edit?usp=sharing","Ryan Ulrich")</f>
        <v>Ryan Ulrich</v>
      </c>
      <c r="B72" s="13">
        <v>35.0</v>
      </c>
      <c r="C72" s="13">
        <v>49.0</v>
      </c>
      <c r="D72" s="13">
        <v>14.0</v>
      </c>
      <c r="E72" s="16">
        <v>3.5</v>
      </c>
      <c r="F72" s="17">
        <v>0.1137</v>
      </c>
      <c r="G72" s="13">
        <v>39.0</v>
      </c>
      <c r="H72" s="13" t="s">
        <v>23</v>
      </c>
      <c r="I72" s="13" t="s">
        <v>9</v>
      </c>
      <c r="J72" s="13" t="s">
        <v>33</v>
      </c>
      <c r="K72" s="13" t="s">
        <v>34</v>
      </c>
      <c r="L72" s="13">
        <v>5.0</v>
      </c>
      <c r="M72" s="13">
        <v>2.0</v>
      </c>
      <c r="N72" s="13" t="s">
        <v>23</v>
      </c>
      <c r="O72" s="13">
        <v>14.0</v>
      </c>
      <c r="P72" s="13" t="s">
        <v>23</v>
      </c>
      <c r="Q72" s="13" t="s">
        <v>23</v>
      </c>
      <c r="R72" s="13"/>
      <c r="S72" s="13">
        <v>2.0</v>
      </c>
      <c r="T72" s="13" t="s">
        <v>23</v>
      </c>
      <c r="U72" s="13" t="s">
        <v>23</v>
      </c>
    </row>
    <row r="73">
      <c r="A73" s="9" t="str">
        <f>HYPERLINK("https://docs.google.com/spreadsheets/d/1v6gXy2rHfH0CkzT8zUZyZm6b-WimbnBspkh1B5hksu4/edit?usp=sharing","Troyzan Robertson")</f>
        <v>Troyzan Robertson</v>
      </c>
      <c r="B73" s="10">
        <v>24.0</v>
      </c>
      <c r="C73" s="10">
        <v>49.0</v>
      </c>
      <c r="D73" s="10">
        <v>11.0</v>
      </c>
      <c r="E73" s="11">
        <v>4.45</v>
      </c>
      <c r="F73" s="12">
        <v>0.1283</v>
      </c>
      <c r="G73" s="10">
        <v>30.0</v>
      </c>
      <c r="H73" s="10" t="s">
        <v>23</v>
      </c>
      <c r="I73" s="10" t="s">
        <v>9</v>
      </c>
      <c r="J73" s="10" t="s">
        <v>46</v>
      </c>
      <c r="K73" s="10" t="s">
        <v>47</v>
      </c>
      <c r="L73" s="13">
        <v>7.0</v>
      </c>
      <c r="M73" s="13">
        <v>3.0</v>
      </c>
      <c r="N73" s="13">
        <v>2.0</v>
      </c>
      <c r="O73" s="13">
        <v>7.0</v>
      </c>
      <c r="P73" s="10" t="s">
        <v>23</v>
      </c>
      <c r="Q73" s="10" t="s">
        <v>23</v>
      </c>
      <c r="R73" s="10"/>
      <c r="S73" s="10">
        <v>1.0</v>
      </c>
      <c r="T73" s="10"/>
      <c r="U73" s="10" t="s">
        <v>23</v>
      </c>
    </row>
    <row r="74">
      <c r="A74" s="9" t="str">
        <f>HYPERLINK("https://docs.google.com/spreadsheets/d/1ReMaq-fM8zzflOjjrMrgnxEsdZxPIPIJqiZ9cCLO3cE/edit?usp=sharing","Jonathan Penner")</f>
        <v>Jonathan Penner</v>
      </c>
      <c r="B74" s="10">
        <v>25.0</v>
      </c>
      <c r="C74" s="10">
        <v>49.0</v>
      </c>
      <c r="D74" s="10">
        <v>11.0</v>
      </c>
      <c r="E74" s="11">
        <v>4.45</v>
      </c>
      <c r="F74" s="12">
        <v>0.1126</v>
      </c>
      <c r="G74" s="10">
        <v>30.0</v>
      </c>
      <c r="H74" s="10" t="s">
        <v>23</v>
      </c>
      <c r="I74" s="10" t="s">
        <v>9</v>
      </c>
      <c r="J74" s="10" t="s">
        <v>46</v>
      </c>
      <c r="K74" s="10" t="s">
        <v>66</v>
      </c>
      <c r="L74" s="13">
        <v>9.0</v>
      </c>
      <c r="M74" s="13">
        <v>4.0</v>
      </c>
      <c r="N74" s="13">
        <v>1.0</v>
      </c>
      <c r="O74" s="13">
        <v>7.0</v>
      </c>
      <c r="P74" s="10" t="s">
        <v>23</v>
      </c>
      <c r="Q74" s="10" t="s">
        <v>23</v>
      </c>
      <c r="R74" s="10"/>
      <c r="S74" s="10">
        <v>1.0</v>
      </c>
      <c r="T74" s="10"/>
      <c r="U74" s="10" t="s">
        <v>23</v>
      </c>
    </row>
    <row r="75">
      <c r="A75" s="9" t="str">
        <f>HYPERLINK("https://docs.google.com/spreadsheets/d/1hg_GT4r2smQsgkwEYBqHOukVavnNSyncsyfceWDpOho/edit?usp=sharing","Amber Brkich")</f>
        <v>Amber Brkich</v>
      </c>
      <c r="B75" s="10">
        <v>8.0</v>
      </c>
      <c r="C75" s="10">
        <v>48.0</v>
      </c>
      <c r="D75" s="10">
        <v>15.0</v>
      </c>
      <c r="E75" s="11">
        <v>3.2</v>
      </c>
      <c r="F75" s="12">
        <v>0.0947</v>
      </c>
      <c r="G75" s="10">
        <v>39.0</v>
      </c>
      <c r="H75" s="10">
        <v>1.0</v>
      </c>
      <c r="I75" s="10" t="s">
        <v>9</v>
      </c>
      <c r="J75" s="10" t="s">
        <v>28</v>
      </c>
      <c r="K75" s="10" t="s">
        <v>29</v>
      </c>
      <c r="L75" s="13">
        <v>10.0</v>
      </c>
      <c r="M75" s="13">
        <v>5.0</v>
      </c>
      <c r="N75" s="13">
        <v>1.0</v>
      </c>
      <c r="O75" s="13">
        <v>10.0</v>
      </c>
      <c r="P75" s="10" t="s">
        <v>23</v>
      </c>
      <c r="Q75" s="10" t="s">
        <v>23</v>
      </c>
      <c r="R75" s="10"/>
      <c r="S75" s="10" t="s">
        <v>23</v>
      </c>
      <c r="T75" s="10"/>
      <c r="U75" s="10" t="s">
        <v>23</v>
      </c>
    </row>
    <row r="76">
      <c r="A76" s="9" t="str">
        <f>HYPERLINK("https://docs.google.com/spreadsheets/d/1X-5lK1sJCBpvE08rC1VdSsGvayqyrC62cK7W45Q4XX8/edit?usp=sharing","Tyson Apostol")</f>
        <v>Tyson Apostol</v>
      </c>
      <c r="B76" s="10">
        <v>27.0</v>
      </c>
      <c r="C76" s="10">
        <v>48.0</v>
      </c>
      <c r="D76" s="10">
        <v>14.0</v>
      </c>
      <c r="E76" s="11">
        <v>3.43</v>
      </c>
      <c r="F76" s="12">
        <v>0.1109</v>
      </c>
      <c r="G76" s="10">
        <v>39.0</v>
      </c>
      <c r="H76" s="10" t="s">
        <v>23</v>
      </c>
      <c r="I76" s="10" t="s">
        <v>9</v>
      </c>
      <c r="J76" s="10" t="s">
        <v>28</v>
      </c>
      <c r="K76" s="10" t="s">
        <v>36</v>
      </c>
      <c r="L76" s="13">
        <v>9.0</v>
      </c>
      <c r="M76" s="13">
        <v>6.0</v>
      </c>
      <c r="N76" s="13">
        <v>2.0</v>
      </c>
      <c r="O76" s="13">
        <v>11.0</v>
      </c>
      <c r="P76" s="13" t="s">
        <v>23</v>
      </c>
      <c r="Q76" s="13" t="s">
        <v>23</v>
      </c>
      <c r="R76" s="13"/>
      <c r="S76" s="10">
        <v>2.0</v>
      </c>
      <c r="T76" s="10"/>
      <c r="U76" s="10" t="s">
        <v>23</v>
      </c>
    </row>
    <row r="77">
      <c r="A77" s="9" t="str">
        <f>HYPERLINK("https://docs.google.com/spreadsheets/d/1OvIOVR4AMBMcafVt9o6KEur-eEFhew1kw_KUv3DV3Xs/edit?usp=sharing","Ozzy Lusth")</f>
        <v>Ozzy Lusth</v>
      </c>
      <c r="B77" s="10">
        <v>23.0</v>
      </c>
      <c r="C77" s="10">
        <v>48.0</v>
      </c>
      <c r="D77" s="10">
        <v>14.0</v>
      </c>
      <c r="E77" s="11">
        <v>3.43</v>
      </c>
      <c r="F77" s="12">
        <v>0.1197</v>
      </c>
      <c r="G77" s="10">
        <v>38.0</v>
      </c>
      <c r="H77" s="10">
        <v>1.0</v>
      </c>
      <c r="I77" s="10" t="s">
        <v>9</v>
      </c>
      <c r="J77" s="10" t="s">
        <v>45</v>
      </c>
      <c r="K77" s="10" t="s">
        <v>41</v>
      </c>
      <c r="L77" s="13">
        <v>6.0</v>
      </c>
      <c r="M77" s="13">
        <v>3.0</v>
      </c>
      <c r="N77" s="13">
        <v>2.0</v>
      </c>
      <c r="O77" s="13">
        <v>8.0</v>
      </c>
      <c r="P77" s="13" t="s">
        <v>23</v>
      </c>
      <c r="Q77" s="13">
        <v>2.0</v>
      </c>
      <c r="R77" s="13"/>
      <c r="S77" s="10">
        <v>1.0</v>
      </c>
      <c r="T77" s="10"/>
      <c r="U77" s="10" t="s">
        <v>23</v>
      </c>
    </row>
    <row r="78">
      <c r="A78" s="9" t="str">
        <f>HYPERLINK("https://docs.google.com/spreadsheets/d/1iNFGyKFcJm-tPp7Dg94yi7mHCDbJssmAD_PiaDM_tAE/edit?usp=sharing","Keith Nale")</f>
        <v>Keith Nale</v>
      </c>
      <c r="B78" s="10">
        <v>29.0</v>
      </c>
      <c r="C78" s="10">
        <v>47.0</v>
      </c>
      <c r="D78" s="10">
        <v>14.0</v>
      </c>
      <c r="E78" s="11">
        <v>3.36</v>
      </c>
      <c r="F78" s="12">
        <v>0.1056</v>
      </c>
      <c r="G78" s="10">
        <v>38.0</v>
      </c>
      <c r="H78" s="10">
        <v>1.0</v>
      </c>
      <c r="I78" s="10" t="s">
        <v>9</v>
      </c>
      <c r="J78" s="10" t="s">
        <v>40</v>
      </c>
      <c r="K78" s="10" t="s">
        <v>41</v>
      </c>
      <c r="L78" s="23">
        <v>6.0</v>
      </c>
      <c r="M78" s="23">
        <v>3.0</v>
      </c>
      <c r="N78" s="23">
        <v>3.0</v>
      </c>
      <c r="O78" s="23">
        <v>11.0</v>
      </c>
      <c r="P78" s="23">
        <v>2.0</v>
      </c>
      <c r="Q78" s="23" t="s">
        <v>23</v>
      </c>
      <c r="R78" s="23"/>
      <c r="S78" s="23">
        <v>1.0</v>
      </c>
      <c r="T78" s="23"/>
      <c r="U78" s="10" t="s">
        <v>23</v>
      </c>
    </row>
    <row r="79">
      <c r="A79" s="9" t="str">
        <f>HYPERLINK("https://docs.google.com/spreadsheets/d/14eN4V4imd53x81UQVckjyAx_2xIFGXJ8NE4XmE1oDkg/edit?usp=sharing","Jenna Lewis")</f>
        <v>Jenna Lewis</v>
      </c>
      <c r="B79" s="10">
        <v>1.0</v>
      </c>
      <c r="C79" s="10">
        <v>47.0</v>
      </c>
      <c r="D79" s="10">
        <v>9.0</v>
      </c>
      <c r="E79" s="11">
        <v>5.22</v>
      </c>
      <c r="F79" s="14">
        <v>0.0715</v>
      </c>
      <c r="G79" s="10">
        <v>27.0</v>
      </c>
      <c r="H79" s="10">
        <v>1.0</v>
      </c>
      <c r="I79" s="10" t="s">
        <v>9</v>
      </c>
      <c r="J79" s="10" t="s">
        <v>48</v>
      </c>
      <c r="K79" s="10" t="s">
        <v>49</v>
      </c>
      <c r="L79" s="13">
        <v>6.0</v>
      </c>
      <c r="M79" s="13">
        <v>3.0</v>
      </c>
      <c r="N79" s="13" t="s">
        <v>23</v>
      </c>
      <c r="O79" s="13">
        <v>6.0</v>
      </c>
      <c r="P79" s="10" t="s">
        <v>23</v>
      </c>
      <c r="Q79" s="10" t="s">
        <v>23</v>
      </c>
      <c r="R79" s="10"/>
      <c r="S79" s="10" t="s">
        <v>23</v>
      </c>
      <c r="T79" s="10"/>
      <c r="U79" s="10" t="s">
        <v>23</v>
      </c>
    </row>
    <row r="80">
      <c r="A80" s="9" t="str">
        <f>HYPERLINK("https://docs.google.com/spreadsheets/d/1iNFGyKFcJm-tPp7Dg94yi7mHCDbJssmAD_PiaDM_tAE/edit?usp=sharing","Natalie Anderson")</f>
        <v>Natalie Anderson</v>
      </c>
      <c r="B80" s="10">
        <v>29.0</v>
      </c>
      <c r="C80" s="10">
        <v>46.0</v>
      </c>
      <c r="D80" s="10">
        <v>14.0</v>
      </c>
      <c r="E80" s="11">
        <v>3.29</v>
      </c>
      <c r="F80" s="12">
        <v>0.1034</v>
      </c>
      <c r="G80" s="10">
        <v>39.0</v>
      </c>
      <c r="H80" s="10">
        <v>2.0</v>
      </c>
      <c r="I80" s="10" t="s">
        <v>9</v>
      </c>
      <c r="J80" s="10" t="s">
        <v>28</v>
      </c>
      <c r="K80" s="10" t="s">
        <v>29</v>
      </c>
      <c r="L80" s="23">
        <v>7.0</v>
      </c>
      <c r="M80" s="23">
        <v>5.0</v>
      </c>
      <c r="N80" s="23">
        <v>1.0</v>
      </c>
      <c r="O80" s="23">
        <v>10.0</v>
      </c>
      <c r="P80" s="23">
        <v>2.0</v>
      </c>
      <c r="Q80" s="23" t="s">
        <v>23</v>
      </c>
      <c r="R80" s="23"/>
      <c r="S80" s="23">
        <v>1.0</v>
      </c>
      <c r="T80" s="23"/>
      <c r="U80" s="10" t="s">
        <v>23</v>
      </c>
    </row>
    <row r="81">
      <c r="A81" s="9" t="str">
        <f>HYPERLINK("https://docs.google.com/spreadsheets/d/1X-5lK1sJCBpvE08rC1VdSsGvayqyrC62cK7W45Q4XX8/edit?usp=sharing","Ciera Eastin")</f>
        <v>Ciera Eastin</v>
      </c>
      <c r="B81" s="10">
        <v>27.0</v>
      </c>
      <c r="C81" s="10">
        <v>46.0</v>
      </c>
      <c r="D81" s="10">
        <v>14.0</v>
      </c>
      <c r="E81" s="11">
        <v>3.29</v>
      </c>
      <c r="F81" s="12">
        <v>0.1062</v>
      </c>
      <c r="G81" s="10">
        <v>37.0</v>
      </c>
      <c r="H81" s="10">
        <v>2.0</v>
      </c>
      <c r="I81" s="10" t="s">
        <v>9</v>
      </c>
      <c r="J81" s="10" t="s">
        <v>24</v>
      </c>
      <c r="K81" s="10" t="s">
        <v>67</v>
      </c>
      <c r="L81" s="13">
        <v>6.0</v>
      </c>
      <c r="M81" s="13">
        <v>3.0</v>
      </c>
      <c r="N81" s="13">
        <v>1.0</v>
      </c>
      <c r="O81" s="13">
        <v>12.0</v>
      </c>
      <c r="P81" s="13" t="s">
        <v>23</v>
      </c>
      <c r="Q81" s="13" t="s">
        <v>23</v>
      </c>
      <c r="R81" s="13"/>
      <c r="S81" s="10" t="s">
        <v>23</v>
      </c>
      <c r="T81" s="10"/>
      <c r="U81" s="10" t="s">
        <v>23</v>
      </c>
    </row>
    <row r="82">
      <c r="A82" s="9" t="str">
        <f>HYPERLINK("https://docs.google.com/spreadsheets/d/1nRsx7fR5xbH1eAbI_vBDvqXOgh7mXIwmZNhzrVL6oGM/edit?usp=sharing","Paschal English")</f>
        <v>Paschal English</v>
      </c>
      <c r="B82" s="10">
        <v>4.0</v>
      </c>
      <c r="C82" s="10">
        <v>46.0</v>
      </c>
      <c r="D82" s="10">
        <v>13.0</v>
      </c>
      <c r="E82" s="11">
        <v>3.54</v>
      </c>
      <c r="F82" s="12">
        <v>0.0962</v>
      </c>
      <c r="G82" s="10">
        <v>37.0</v>
      </c>
      <c r="H82" s="10" t="s">
        <v>23</v>
      </c>
      <c r="I82" s="10" t="s">
        <v>9</v>
      </c>
      <c r="J82" s="10" t="s">
        <v>37</v>
      </c>
      <c r="K82" s="10" t="s">
        <v>38</v>
      </c>
      <c r="L82" s="13">
        <v>6.0</v>
      </c>
      <c r="M82" s="13">
        <v>4.0</v>
      </c>
      <c r="N82" s="13" t="s">
        <v>23</v>
      </c>
      <c r="O82" s="13">
        <v>9.0</v>
      </c>
      <c r="P82" s="10" t="s">
        <v>23</v>
      </c>
      <c r="Q82" s="10" t="s">
        <v>23</v>
      </c>
      <c r="R82" s="10"/>
      <c r="S82" s="10" t="s">
        <v>23</v>
      </c>
      <c r="T82" s="10"/>
      <c r="U82" s="10" t="s">
        <v>23</v>
      </c>
    </row>
    <row r="83">
      <c r="A83" s="9" t="str">
        <f>HYPERLINK("https://docs.google.com/spreadsheets/d/1iNFGyKFcJm-tPp7Dg94yi7mHCDbJssmAD_PiaDM_tAE/edit?usp=sharing","Jeremy Collins")</f>
        <v>Jeremy Collins</v>
      </c>
      <c r="B83" s="10">
        <v>29.0</v>
      </c>
      <c r="C83" s="10">
        <v>46.0</v>
      </c>
      <c r="D83" s="10">
        <v>9.0</v>
      </c>
      <c r="E83" s="11">
        <v>5.11</v>
      </c>
      <c r="F83" s="12">
        <v>0.1034</v>
      </c>
      <c r="G83" s="10">
        <v>24.0</v>
      </c>
      <c r="H83" s="10" t="s">
        <v>23</v>
      </c>
      <c r="I83" s="10" t="s">
        <v>9</v>
      </c>
      <c r="J83" s="10" t="s">
        <v>48</v>
      </c>
      <c r="K83" s="10" t="s">
        <v>68</v>
      </c>
      <c r="L83" s="23">
        <v>5.0</v>
      </c>
      <c r="M83" s="23">
        <v>5.0</v>
      </c>
      <c r="N83" s="23">
        <v>1.0</v>
      </c>
      <c r="O83" s="23">
        <v>3.0</v>
      </c>
      <c r="P83" s="23">
        <v>2.0</v>
      </c>
      <c r="Q83" s="23" t="s">
        <v>23</v>
      </c>
      <c r="R83" s="23"/>
      <c r="S83" s="13" t="s">
        <v>23</v>
      </c>
      <c r="T83" s="13"/>
      <c r="U83" s="10" t="s">
        <v>23</v>
      </c>
    </row>
    <row r="84">
      <c r="A84" s="15" t="str">
        <f>HYPERLINK("https://docs.google.com/spreadsheets/d/1tElnwN2HVf964gGw8Ei53RyfjarS40wkDY3zivAPWp0/edit?usp=sharing","Sarah Lacina")</f>
        <v>Sarah Lacina</v>
      </c>
      <c r="B84" s="13">
        <v>34.0</v>
      </c>
      <c r="C84" s="13">
        <v>45.0</v>
      </c>
      <c r="D84" s="13">
        <v>14.0</v>
      </c>
      <c r="E84" s="16">
        <v>3.21</v>
      </c>
      <c r="F84" s="17">
        <v>0.1092</v>
      </c>
      <c r="G84" s="13">
        <v>39.0</v>
      </c>
      <c r="H84" s="13">
        <v>2.0</v>
      </c>
      <c r="I84" s="13" t="s">
        <v>9</v>
      </c>
      <c r="J84" s="13" t="s">
        <v>28</v>
      </c>
      <c r="K84" s="13" t="s">
        <v>36</v>
      </c>
      <c r="L84" s="13">
        <v>9.0</v>
      </c>
      <c r="M84" s="13">
        <v>5.0</v>
      </c>
      <c r="N84" s="13" t="s">
        <v>23</v>
      </c>
      <c r="O84" s="13">
        <v>13.0</v>
      </c>
      <c r="P84" s="13" t="s">
        <v>23</v>
      </c>
      <c r="Q84" s="13" t="s">
        <v>23</v>
      </c>
      <c r="R84" s="13"/>
      <c r="S84" s="13">
        <v>1.0</v>
      </c>
      <c r="T84" s="13">
        <v>2.0</v>
      </c>
      <c r="U84" s="13" t="s">
        <v>23</v>
      </c>
    </row>
    <row r="85">
      <c r="A85" s="9" t="str">
        <f>HYPERLINK("https://docs.google.com/spreadsheets/d/1EsGJrNyA7pLwFUlZ6WfOkbnPz58Cle9N9c6epQSDRVA/edit?usp=sharing","Kelley Wentworth")</f>
        <v>Kelley Wentworth</v>
      </c>
      <c r="B85" s="10">
        <v>31.0</v>
      </c>
      <c r="C85" s="10">
        <v>44.0</v>
      </c>
      <c r="D85" s="10">
        <v>14.0</v>
      </c>
      <c r="E85" s="11">
        <v>3.14</v>
      </c>
      <c r="F85" s="12">
        <v>0.1005</v>
      </c>
      <c r="G85" s="10">
        <v>38.0</v>
      </c>
      <c r="H85" s="10" t="s">
        <v>23</v>
      </c>
      <c r="I85" s="10" t="s">
        <v>9</v>
      </c>
      <c r="J85" s="10" t="s">
        <v>54</v>
      </c>
      <c r="K85" s="10" t="s">
        <v>55</v>
      </c>
      <c r="L85" s="13">
        <v>7.0</v>
      </c>
      <c r="M85" s="13">
        <v>4.0</v>
      </c>
      <c r="N85" s="13">
        <v>2.0</v>
      </c>
      <c r="O85" s="13">
        <v>12.0</v>
      </c>
      <c r="P85" s="10" t="s">
        <v>23</v>
      </c>
      <c r="Q85" s="10" t="s">
        <v>23</v>
      </c>
      <c r="R85" s="10"/>
      <c r="S85" s="10">
        <v>2.0</v>
      </c>
      <c r="T85" s="10"/>
      <c r="U85" s="10" t="s">
        <v>23</v>
      </c>
    </row>
    <row r="86">
      <c r="A86" s="9" t="str">
        <f>HYPERLINK("https://docs.google.com/spreadsheets/d/1EsGJrNyA7pLwFUlZ6WfOkbnPz58Cle9N9c6epQSDRVA/edit?usp=sharing","Jeremy Collins")</f>
        <v>Jeremy Collins</v>
      </c>
      <c r="B86" s="10">
        <v>31.0</v>
      </c>
      <c r="C86" s="10">
        <v>44.0</v>
      </c>
      <c r="D86" s="10">
        <v>14.0</v>
      </c>
      <c r="E86" s="11">
        <v>3.14</v>
      </c>
      <c r="F86" s="12">
        <v>0.1005</v>
      </c>
      <c r="G86" s="10">
        <v>39.0</v>
      </c>
      <c r="H86" s="10" t="s">
        <v>23</v>
      </c>
      <c r="I86" s="10" t="s">
        <v>9</v>
      </c>
      <c r="J86" s="10" t="s">
        <v>28</v>
      </c>
      <c r="K86" s="10" t="s">
        <v>36</v>
      </c>
      <c r="L86" s="13">
        <v>4.0</v>
      </c>
      <c r="M86" s="13">
        <v>5.0</v>
      </c>
      <c r="N86" s="13">
        <v>1.0</v>
      </c>
      <c r="O86" s="13">
        <v>12.0</v>
      </c>
      <c r="P86" s="10" t="s">
        <v>23</v>
      </c>
      <c r="Q86" s="10" t="s">
        <v>23</v>
      </c>
      <c r="R86" s="10"/>
      <c r="S86" s="10">
        <v>2.0</v>
      </c>
      <c r="T86" s="10"/>
      <c r="U86" s="10" t="s">
        <v>23</v>
      </c>
    </row>
    <row r="87">
      <c r="A87" s="15" t="str">
        <f>HYPERLINK("https://docs.google.com/spreadsheets/d/1t379i2CYDM1ZVdZZy_Nj2m3ht6Sp4J68-xZ2v4-PIMo/edit?usp=sharing","Kyle Jason")</f>
        <v>Kyle Jason</v>
      </c>
      <c r="B87" s="13">
        <v>32.0</v>
      </c>
      <c r="C87" s="13">
        <v>44.0</v>
      </c>
      <c r="D87" s="13">
        <v>12.0</v>
      </c>
      <c r="E87" s="16">
        <v>3.67</v>
      </c>
      <c r="F87" s="17">
        <v>0.0891</v>
      </c>
      <c r="G87" s="13">
        <v>32.0</v>
      </c>
      <c r="H87" s="13">
        <v>1.0</v>
      </c>
      <c r="I87" s="13" t="s">
        <v>9</v>
      </c>
      <c r="J87" s="13" t="s">
        <v>37</v>
      </c>
      <c r="K87" s="13" t="s">
        <v>56</v>
      </c>
      <c r="L87" s="13">
        <v>4.0</v>
      </c>
      <c r="M87" s="13">
        <v>3.0</v>
      </c>
      <c r="N87" s="13">
        <v>1.0</v>
      </c>
      <c r="O87" s="13">
        <v>8.0</v>
      </c>
      <c r="P87" s="13" t="s">
        <v>23</v>
      </c>
      <c r="Q87" s="13" t="s">
        <v>23</v>
      </c>
      <c r="R87" s="13"/>
      <c r="S87" s="13">
        <v>1.0</v>
      </c>
      <c r="T87" s="13"/>
      <c r="U87" s="13" t="s">
        <v>23</v>
      </c>
    </row>
    <row r="88">
      <c r="A88" s="9" t="str">
        <f>HYPERLINK("https://docs.google.com/spreadsheets/d/1v6gXy2rHfH0CkzT8zUZyZm6b-WimbnBspkh1B5hksu4/edit?usp=sharing","Sabria Thompson")</f>
        <v>Sabria Thompson</v>
      </c>
      <c r="B88" s="10">
        <v>24.0</v>
      </c>
      <c r="C88" s="10">
        <v>42.0</v>
      </c>
      <c r="D88" s="10">
        <v>14.0</v>
      </c>
      <c r="E88" s="11">
        <v>3.0</v>
      </c>
      <c r="F88" s="12">
        <v>0.1099</v>
      </c>
      <c r="G88" s="10">
        <v>39.0</v>
      </c>
      <c r="H88" s="10">
        <v>1.0</v>
      </c>
      <c r="I88" s="10" t="s">
        <v>9</v>
      </c>
      <c r="J88" s="10" t="s">
        <v>31</v>
      </c>
      <c r="K88" s="10" t="s">
        <v>32</v>
      </c>
      <c r="L88" s="13">
        <v>8.0</v>
      </c>
      <c r="M88" s="13">
        <v>3.0</v>
      </c>
      <c r="N88" s="13" t="s">
        <v>23</v>
      </c>
      <c r="O88" s="13">
        <v>11.0</v>
      </c>
      <c r="P88" s="10" t="s">
        <v>23</v>
      </c>
      <c r="Q88" s="10" t="s">
        <v>23</v>
      </c>
      <c r="R88" s="10"/>
      <c r="S88" s="10">
        <v>1.0</v>
      </c>
      <c r="T88" s="10"/>
      <c r="U88" s="10" t="s">
        <v>23</v>
      </c>
    </row>
    <row r="89">
      <c r="A89" s="15" t="str">
        <f>HYPERLINK("https://docs.google.com/spreadsheets/d/1VEbyebFdBtPJKQC_U2uGrW6_v1fn6Hsoz3YYLyCxHR0/edit?usp=sharing","Danielle DiLorenzo")</f>
        <v>Danielle DiLorenzo</v>
      </c>
      <c r="B89" s="13">
        <v>12.0</v>
      </c>
      <c r="C89" s="13">
        <v>42.0</v>
      </c>
      <c r="D89" s="13">
        <v>14.0</v>
      </c>
      <c r="E89" s="16">
        <v>3.0</v>
      </c>
      <c r="F89" s="17">
        <v>0.0124</v>
      </c>
      <c r="G89" s="13">
        <v>39.0</v>
      </c>
      <c r="H89" s="13">
        <v>2.0</v>
      </c>
      <c r="I89" s="13" t="s">
        <v>9</v>
      </c>
      <c r="J89" s="13" t="s">
        <v>26</v>
      </c>
      <c r="K89" s="13" t="s">
        <v>27</v>
      </c>
      <c r="L89" s="13">
        <v>6.0</v>
      </c>
      <c r="M89" s="13">
        <v>4.0</v>
      </c>
      <c r="N89" s="13">
        <v>1.0</v>
      </c>
      <c r="O89" s="13">
        <v>10.0</v>
      </c>
      <c r="P89" s="13">
        <v>3.0</v>
      </c>
      <c r="Q89" s="13" t="s">
        <v>23</v>
      </c>
      <c r="R89" s="13"/>
      <c r="S89" s="13" t="s">
        <v>23</v>
      </c>
      <c r="T89" s="13" t="s">
        <v>23</v>
      </c>
      <c r="U89" s="13" t="s">
        <v>23</v>
      </c>
    </row>
    <row r="90">
      <c r="A90" s="9" t="str">
        <f>HYPERLINK("https://docs.google.com/spreadsheets/d/1EsGJrNyA7pLwFUlZ6WfOkbnPz58Cle9N9c6epQSDRVA/edit?usp=sharing","Stephen Fishbach")</f>
        <v>Stephen Fishbach</v>
      </c>
      <c r="B90" s="10">
        <v>31.0</v>
      </c>
      <c r="C90" s="10">
        <v>42.0</v>
      </c>
      <c r="D90" s="10">
        <v>11.0</v>
      </c>
      <c r="E90" s="11">
        <v>3.82</v>
      </c>
      <c r="F90" s="12">
        <v>0.0959</v>
      </c>
      <c r="G90" s="10">
        <v>29.0</v>
      </c>
      <c r="H90" s="10">
        <v>1.0</v>
      </c>
      <c r="I90" s="10" t="s">
        <v>9</v>
      </c>
      <c r="J90" s="10" t="s">
        <v>46</v>
      </c>
      <c r="K90" s="10" t="s">
        <v>63</v>
      </c>
      <c r="L90" s="13">
        <v>5.0</v>
      </c>
      <c r="M90" s="13">
        <v>5.0</v>
      </c>
      <c r="N90" s="13" t="s">
        <v>23</v>
      </c>
      <c r="O90" s="13">
        <v>6.0</v>
      </c>
      <c r="P90" s="10" t="s">
        <v>23</v>
      </c>
      <c r="Q90" s="10" t="s">
        <v>23</v>
      </c>
      <c r="R90" s="10"/>
      <c r="S90" s="10" t="s">
        <v>23</v>
      </c>
      <c r="T90" s="10"/>
      <c r="U90" s="10" t="s">
        <v>23</v>
      </c>
    </row>
    <row r="91">
      <c r="A91" s="9" t="str">
        <f>HYPERLINK("https://docs.google.com/spreadsheets/d/1nYlVL4RxK2ZUH-a4MfKCalHyEjDRWz2ZumhyoaYsjTE/edit?usp=sharing","Marty Piombo")</f>
        <v>Marty Piombo</v>
      </c>
      <c r="B91" s="10">
        <v>21.0</v>
      </c>
      <c r="C91" s="10">
        <v>42.0</v>
      </c>
      <c r="D91" s="10">
        <v>9.0</v>
      </c>
      <c r="E91" s="11">
        <v>4.67</v>
      </c>
      <c r="F91" s="12">
        <v>0.101</v>
      </c>
      <c r="G91" s="10">
        <v>24.0</v>
      </c>
      <c r="H91" s="10" t="s">
        <v>23</v>
      </c>
      <c r="I91" s="10" t="s">
        <v>9</v>
      </c>
      <c r="J91" s="10" t="s">
        <v>48</v>
      </c>
      <c r="K91" s="10" t="s">
        <v>69</v>
      </c>
      <c r="L91" s="13">
        <v>4.0</v>
      </c>
      <c r="M91" s="13">
        <v>2.0</v>
      </c>
      <c r="N91" s="13" t="s">
        <v>23</v>
      </c>
      <c r="O91" s="13">
        <v>7.0</v>
      </c>
      <c r="P91" s="10" t="s">
        <v>23</v>
      </c>
      <c r="Q91" s="10" t="s">
        <v>23</v>
      </c>
      <c r="R91" s="10"/>
      <c r="S91" s="10">
        <v>1.0</v>
      </c>
      <c r="T91" s="10"/>
      <c r="U91" s="10" t="s">
        <v>23</v>
      </c>
    </row>
    <row r="92">
      <c r="A92" s="9" t="str">
        <f>HYPERLINK("https://docs.google.com/spreadsheets/d/1w0I5RoQ7uENhUG1ncC5V9B3b6BQapplx180-f9F9s4w/edit?usp=sharing","Deena Bennett")</f>
        <v>Deena Bennett</v>
      </c>
      <c r="B92" s="10">
        <v>6.0</v>
      </c>
      <c r="C92" s="10">
        <v>42.0</v>
      </c>
      <c r="D92" s="10">
        <v>9.0</v>
      </c>
      <c r="E92" s="11">
        <v>4.67</v>
      </c>
      <c r="F92" s="12">
        <v>0.0864</v>
      </c>
      <c r="G92" s="10">
        <v>27.0</v>
      </c>
      <c r="H92" s="10" t="s">
        <v>23</v>
      </c>
      <c r="I92" s="10" t="s">
        <v>9</v>
      </c>
      <c r="J92" s="10" t="s">
        <v>48</v>
      </c>
      <c r="K92" s="10" t="s">
        <v>49</v>
      </c>
      <c r="L92" s="13">
        <v>4.0</v>
      </c>
      <c r="M92" s="13">
        <v>3.0</v>
      </c>
      <c r="N92" s="13">
        <v>1.0</v>
      </c>
      <c r="O92" s="13">
        <v>6.0</v>
      </c>
      <c r="P92" s="10" t="s">
        <v>23</v>
      </c>
      <c r="Q92" s="10" t="s">
        <v>23</v>
      </c>
      <c r="R92" s="10"/>
      <c r="S92" s="10" t="s">
        <v>23</v>
      </c>
      <c r="T92" s="10"/>
      <c r="U92" s="10" t="s">
        <v>23</v>
      </c>
    </row>
    <row r="93">
      <c r="A93" s="9" t="str">
        <f>HYPERLINK("https://docs.google.com/spreadsheets/d/1hg_GT4r2smQsgkwEYBqHOukVavnNSyncsyfceWDpOho/edit?usp=sharing","Jenna Lewis")</f>
        <v>Jenna Lewis</v>
      </c>
      <c r="B93" s="10">
        <v>8.0</v>
      </c>
      <c r="C93" s="10">
        <v>41.0</v>
      </c>
      <c r="D93" s="10">
        <v>15.0</v>
      </c>
      <c r="E93" s="11">
        <v>2.73</v>
      </c>
      <c r="F93" s="12">
        <v>0.0809</v>
      </c>
      <c r="G93" s="10">
        <v>38.0</v>
      </c>
      <c r="H93" s="10">
        <v>2.0</v>
      </c>
      <c r="I93" s="10" t="s">
        <v>9</v>
      </c>
      <c r="J93" s="10" t="s">
        <v>24</v>
      </c>
      <c r="K93" s="10" t="s">
        <v>34</v>
      </c>
      <c r="L93" s="13">
        <v>9.0</v>
      </c>
      <c r="M93" s="13">
        <v>4.0</v>
      </c>
      <c r="N93" s="13" t="s">
        <v>23</v>
      </c>
      <c r="O93" s="13">
        <v>9.0</v>
      </c>
      <c r="P93" s="10" t="s">
        <v>23</v>
      </c>
      <c r="Q93" s="10" t="s">
        <v>23</v>
      </c>
      <c r="R93" s="10"/>
      <c r="S93" s="10" t="s">
        <v>23</v>
      </c>
      <c r="T93" s="10"/>
      <c r="U93" s="10" t="s">
        <v>23</v>
      </c>
    </row>
    <row r="94">
      <c r="A94" s="9" t="str">
        <f>HYPERLINK("https://docs.google.com/spreadsheets/d/1CcEdjXKuhm6HmXecNbnscxpFab1HRQEjKSDga6QxqAU/edit?usp=sharing","Phillip Sheppard")</f>
        <v>Phillip Sheppard</v>
      </c>
      <c r="B94" s="10">
        <v>22.0</v>
      </c>
      <c r="C94" s="10">
        <v>41.0</v>
      </c>
      <c r="D94" s="10">
        <v>14.0</v>
      </c>
      <c r="E94" s="11">
        <v>2.93</v>
      </c>
      <c r="F94" s="12">
        <v>0.0967</v>
      </c>
      <c r="G94" s="10">
        <v>39.0</v>
      </c>
      <c r="H94" s="10">
        <v>2.0</v>
      </c>
      <c r="I94" s="10" t="s">
        <v>9</v>
      </c>
      <c r="J94" s="10" t="s">
        <v>31</v>
      </c>
      <c r="K94" s="10" t="s">
        <v>32</v>
      </c>
      <c r="L94" s="13">
        <v>6.0</v>
      </c>
      <c r="M94" s="13">
        <v>4.0</v>
      </c>
      <c r="N94" s="13" t="s">
        <v>23</v>
      </c>
      <c r="O94" s="13">
        <v>14.0</v>
      </c>
      <c r="P94" s="13" t="s">
        <v>23</v>
      </c>
      <c r="Q94" s="13" t="s">
        <v>23</v>
      </c>
      <c r="R94" s="13"/>
      <c r="S94" s="10" t="s">
        <v>23</v>
      </c>
      <c r="T94" s="10"/>
      <c r="U94" s="10" t="s">
        <v>23</v>
      </c>
    </row>
    <row r="95">
      <c r="A95" s="9" t="str">
        <f>HYPERLINK("https://docs.google.com/spreadsheets/d/1v6gXy2rHfH0CkzT8zUZyZm6b-WimbnBspkh1B5hksu4/edit?usp=sharing","Alicia Rosa")</f>
        <v>Alicia Rosa</v>
      </c>
      <c r="B95" s="10">
        <v>24.0</v>
      </c>
      <c r="C95" s="10">
        <v>41.0</v>
      </c>
      <c r="D95" s="10">
        <v>14.0</v>
      </c>
      <c r="E95" s="11">
        <v>2.93</v>
      </c>
      <c r="F95" s="12">
        <v>0.1073</v>
      </c>
      <c r="G95" s="10">
        <v>37.0</v>
      </c>
      <c r="H95" s="10">
        <v>2.0</v>
      </c>
      <c r="I95" s="10" t="s">
        <v>9</v>
      </c>
      <c r="J95" s="10" t="s">
        <v>40</v>
      </c>
      <c r="K95" s="10" t="s">
        <v>70</v>
      </c>
      <c r="L95" s="13">
        <v>7.0</v>
      </c>
      <c r="M95" s="13">
        <v>2.0</v>
      </c>
      <c r="N95" s="13">
        <v>1.0</v>
      </c>
      <c r="O95" s="13">
        <v>10.0</v>
      </c>
      <c r="P95" s="10" t="s">
        <v>23</v>
      </c>
      <c r="Q95" s="10" t="s">
        <v>23</v>
      </c>
      <c r="R95" s="10"/>
      <c r="S95" s="10" t="s">
        <v>23</v>
      </c>
      <c r="T95" s="10"/>
      <c r="U95" s="10" t="s">
        <v>23</v>
      </c>
    </row>
    <row r="96">
      <c r="A96" s="15" t="str">
        <f>HYPERLINK("https://docs.google.com/spreadsheets/d/1q-5bbq9txg93Y0eUACxRPTIN5PuRjeDVpNDfeXEw4iE/edit?usp=sharing","Devon Pinto")</f>
        <v>Devon Pinto</v>
      </c>
      <c r="B96" s="13">
        <v>35.0</v>
      </c>
      <c r="C96" s="13">
        <v>41.0</v>
      </c>
      <c r="D96" s="13">
        <v>14.0</v>
      </c>
      <c r="E96" s="16">
        <v>2.93</v>
      </c>
      <c r="F96" s="17">
        <v>0.0951</v>
      </c>
      <c r="G96" s="13">
        <v>38.0</v>
      </c>
      <c r="H96" s="13" t="s">
        <v>23</v>
      </c>
      <c r="I96" s="13" t="s">
        <v>9</v>
      </c>
      <c r="J96" s="13" t="s">
        <v>46</v>
      </c>
      <c r="K96" s="13" t="s">
        <v>41</v>
      </c>
      <c r="L96" s="13">
        <v>7.0</v>
      </c>
      <c r="M96" s="13">
        <v>3.0</v>
      </c>
      <c r="N96" s="13" t="s">
        <v>23</v>
      </c>
      <c r="O96" s="13">
        <v>12.0</v>
      </c>
      <c r="P96" s="13" t="s">
        <v>23</v>
      </c>
      <c r="Q96" s="13" t="s">
        <v>23</v>
      </c>
      <c r="R96" s="13"/>
      <c r="S96" s="13" t="s">
        <v>23</v>
      </c>
      <c r="T96" s="13">
        <v>1.0</v>
      </c>
      <c r="U96" s="13" t="s">
        <v>23</v>
      </c>
    </row>
    <row r="97">
      <c r="A97" s="15" t="str">
        <f>HYPERLINK("https://docs.google.com/spreadsheets/d/1Hf_PbZTXAuooCoiF7c3Bz80t5-zCjdWHF8wQ_HyodNs/edit?usp=sharing","Kellyn Bechtold")</f>
        <v>Kellyn Bechtold</v>
      </c>
      <c r="B97" s="13">
        <v>36.0</v>
      </c>
      <c r="C97" s="13">
        <v>41.0</v>
      </c>
      <c r="D97" s="13">
        <v>13.0</v>
      </c>
      <c r="E97" s="16">
        <v>3.15</v>
      </c>
      <c r="F97" s="17">
        <v>0.1043</v>
      </c>
      <c r="G97" s="13">
        <v>35.0</v>
      </c>
      <c r="H97" s="13">
        <v>1.0</v>
      </c>
      <c r="I97" s="13" t="s">
        <v>9</v>
      </c>
      <c r="J97" s="13" t="s">
        <v>24</v>
      </c>
      <c r="K97" s="13" t="s">
        <v>44</v>
      </c>
      <c r="L97" s="13">
        <v>4.0</v>
      </c>
      <c r="M97" s="13">
        <v>4.0</v>
      </c>
      <c r="N97" s="13">
        <v>1.0</v>
      </c>
      <c r="O97" s="13">
        <v>9.0</v>
      </c>
      <c r="P97" s="13">
        <v>2.0</v>
      </c>
      <c r="Q97" s="13" t="s">
        <v>23</v>
      </c>
      <c r="R97" s="13"/>
      <c r="S97" s="13" t="s">
        <v>23</v>
      </c>
      <c r="T97" s="13">
        <v>1.0</v>
      </c>
      <c r="U97" s="13" t="s">
        <v>23</v>
      </c>
    </row>
    <row r="98">
      <c r="A98" s="19" t="str">
        <f>HYPERLINK("https://docs.google.com/spreadsheets/d/1TniiK35-AGMNddj9lkge_tT9QfOGXMfX2thnTv8npTo/edit?usp=sharing","Jake Billingsley")</f>
        <v>Jake Billingsley</v>
      </c>
      <c r="B98" s="20">
        <v>5.0</v>
      </c>
      <c r="C98" s="21">
        <v>41.0</v>
      </c>
      <c r="D98" s="20">
        <v>11.0</v>
      </c>
      <c r="E98" s="22">
        <v>3.73</v>
      </c>
      <c r="F98" s="14">
        <v>0.0849</v>
      </c>
      <c r="G98" s="21">
        <v>33.0</v>
      </c>
      <c r="H98" s="21">
        <v>2.0</v>
      </c>
      <c r="I98" s="10" t="s">
        <v>9</v>
      </c>
      <c r="J98" s="21" t="s">
        <v>58</v>
      </c>
      <c r="K98" s="20" t="s">
        <v>59</v>
      </c>
      <c r="L98" s="13">
        <v>5.0</v>
      </c>
      <c r="M98" s="13">
        <v>3.0</v>
      </c>
      <c r="N98" s="13" t="s">
        <v>23</v>
      </c>
      <c r="O98" s="13">
        <v>8.0</v>
      </c>
      <c r="P98" s="10" t="s">
        <v>23</v>
      </c>
      <c r="Q98" s="10" t="s">
        <v>23</v>
      </c>
      <c r="R98" s="10"/>
      <c r="S98" s="10" t="s">
        <v>23</v>
      </c>
      <c r="T98" s="10"/>
      <c r="U98" s="10" t="s">
        <v>23</v>
      </c>
    </row>
    <row r="99">
      <c r="A99" s="9" t="str">
        <f>HYPERLINK("https://docs.google.com/spreadsheets/d/1ReMaq-fM8zzflOjjrMrgnxEsdZxPIPIJqiZ9cCLO3cE/edit?usp=sharing","Michael Skupin")</f>
        <v>Michael Skupin</v>
      </c>
      <c r="B99" s="10">
        <v>25.0</v>
      </c>
      <c r="C99" s="10">
        <v>40.0</v>
      </c>
      <c r="D99" s="10">
        <v>14.0</v>
      </c>
      <c r="E99" s="11">
        <v>2.86</v>
      </c>
      <c r="F99" s="12">
        <v>0.092</v>
      </c>
      <c r="G99" s="10">
        <v>39.0</v>
      </c>
      <c r="H99" s="10">
        <v>5.0</v>
      </c>
      <c r="I99" s="10" t="s">
        <v>9</v>
      </c>
      <c r="J99" s="10" t="s">
        <v>50</v>
      </c>
      <c r="K99" s="10" t="s">
        <v>51</v>
      </c>
      <c r="L99" s="13">
        <v>9.0</v>
      </c>
      <c r="M99" s="13">
        <v>6.0</v>
      </c>
      <c r="N99" s="13">
        <v>2.0</v>
      </c>
      <c r="O99" s="13">
        <v>9.0</v>
      </c>
      <c r="P99" s="10" t="s">
        <v>23</v>
      </c>
      <c r="Q99" s="10" t="s">
        <v>23</v>
      </c>
      <c r="R99" s="10"/>
      <c r="S99" s="10" t="s">
        <v>23</v>
      </c>
      <c r="T99" s="10"/>
      <c r="U99" s="10" t="s">
        <v>23</v>
      </c>
    </row>
    <row r="100">
      <c r="A100" s="9" t="str">
        <f>HYPERLINK("https://docs.google.com/spreadsheets/d/1nYlVL4RxK2ZUH-a4MfKCalHyEjDRWz2ZumhyoaYsjTE/edit?usp=sharing","Judson ""Fabio"" Birza")</f>
        <v>Judson "Fabio" Birza</v>
      </c>
      <c r="B100" s="10">
        <v>21.0</v>
      </c>
      <c r="C100" s="10">
        <v>40.0</v>
      </c>
      <c r="D100" s="10">
        <v>14.0</v>
      </c>
      <c r="E100" s="11">
        <v>2.86</v>
      </c>
      <c r="F100" s="12">
        <v>0.0962</v>
      </c>
      <c r="G100" s="10">
        <v>39.0</v>
      </c>
      <c r="H100" s="10">
        <v>1.0</v>
      </c>
      <c r="I100" s="10" t="s">
        <v>9</v>
      </c>
      <c r="J100" s="10" t="s">
        <v>28</v>
      </c>
      <c r="K100" s="10" t="s">
        <v>36</v>
      </c>
      <c r="L100" s="13">
        <v>7.0</v>
      </c>
      <c r="M100" s="13">
        <v>4.0</v>
      </c>
      <c r="N100" s="13">
        <v>4.0</v>
      </c>
      <c r="O100" s="13">
        <v>11.0</v>
      </c>
      <c r="P100" s="10" t="s">
        <v>23</v>
      </c>
      <c r="Q100" s="10" t="s">
        <v>23</v>
      </c>
      <c r="R100" s="10"/>
      <c r="S100" s="10" t="s">
        <v>23</v>
      </c>
      <c r="T100" s="10"/>
      <c r="U100" s="10" t="s">
        <v>23</v>
      </c>
    </row>
    <row r="101">
      <c r="A101" s="15" t="str">
        <f>HYPERLINK("https://docs.google.com/spreadsheets/d/1sWOJC8eB6rVdXdWiWMgfbfgw2325jIh1ODKxyaCmSGc/edit?usp=sharing","Danni Boatwright")</f>
        <v>Danni Boatwright</v>
      </c>
      <c r="B101" s="13">
        <v>11.0</v>
      </c>
      <c r="C101" s="13">
        <v>40.0</v>
      </c>
      <c r="D101" s="13">
        <v>14.0</v>
      </c>
      <c r="E101" s="16">
        <v>2.86</v>
      </c>
      <c r="F101" s="17">
        <v>0.0907</v>
      </c>
      <c r="G101" s="13">
        <v>39.0</v>
      </c>
      <c r="H101" s="13">
        <v>1.0</v>
      </c>
      <c r="I101" s="13" t="s">
        <v>9</v>
      </c>
      <c r="J101" s="13" t="s">
        <v>28</v>
      </c>
      <c r="K101" s="13" t="s">
        <v>29</v>
      </c>
      <c r="L101" s="13">
        <v>9.0</v>
      </c>
      <c r="M101" s="13">
        <v>3.0</v>
      </c>
      <c r="N101" s="13">
        <v>2.0</v>
      </c>
      <c r="O101" s="13">
        <v>13.0</v>
      </c>
      <c r="P101" s="13" t="s">
        <v>23</v>
      </c>
      <c r="Q101" s="13" t="s">
        <v>23</v>
      </c>
      <c r="R101" s="13"/>
      <c r="S101" s="13" t="s">
        <v>23</v>
      </c>
      <c r="T101" s="13">
        <v>1.0</v>
      </c>
      <c r="U101" s="13" t="s">
        <v>23</v>
      </c>
    </row>
    <row r="102">
      <c r="A102" s="15" t="str">
        <f>HYPERLINK("https://docs.google.com/spreadsheets/d/1ZajpFwOHrMmupCcACeLhLTzPOwhTrjKRR1FJtUgeLww/edit?usp=sharing","Zeke Smith")</f>
        <v>Zeke Smith</v>
      </c>
      <c r="B102" s="13">
        <v>33.0</v>
      </c>
      <c r="C102" s="13">
        <v>40.0</v>
      </c>
      <c r="D102" s="13">
        <v>12.0</v>
      </c>
      <c r="E102" s="16">
        <v>3.33</v>
      </c>
      <c r="F102" s="17">
        <v>0.092</v>
      </c>
      <c r="G102" s="13">
        <v>33.0</v>
      </c>
      <c r="H102" s="13" t="s">
        <v>23</v>
      </c>
      <c r="I102" s="13" t="s">
        <v>9</v>
      </c>
      <c r="J102" s="13" t="s">
        <v>46</v>
      </c>
      <c r="K102" s="13" t="s">
        <v>63</v>
      </c>
      <c r="L102" s="13">
        <v>7.0</v>
      </c>
      <c r="M102" s="13">
        <v>5.0</v>
      </c>
      <c r="N102" s="13" t="s">
        <v>23</v>
      </c>
      <c r="O102" s="13">
        <v>7.0</v>
      </c>
      <c r="P102" s="13" t="s">
        <v>23</v>
      </c>
      <c r="Q102" s="13" t="s">
        <v>23</v>
      </c>
      <c r="R102" s="13"/>
      <c r="S102" s="13" t="s">
        <v>23</v>
      </c>
      <c r="T102" s="13" t="s">
        <v>23</v>
      </c>
      <c r="U102" s="13" t="s">
        <v>23</v>
      </c>
    </row>
    <row r="103">
      <c r="A103" s="9" t="str">
        <f>HYPERLINK("https://docs.google.com/spreadsheets/d/1LR80O0PvsOvoTuN5gHQd3Rls4b1rZmJd7EZ_DR2oRHs/edit?usp=sharing","Reynold Toepfer")</f>
        <v>Reynold Toepfer</v>
      </c>
      <c r="B103" s="10">
        <v>26.0</v>
      </c>
      <c r="C103" s="10">
        <v>40.0</v>
      </c>
      <c r="D103" s="10">
        <v>12.0</v>
      </c>
      <c r="E103" s="11">
        <v>3.33</v>
      </c>
      <c r="F103" s="12">
        <v>0.0969</v>
      </c>
      <c r="G103" s="10">
        <v>31.0</v>
      </c>
      <c r="H103" s="10" t="s">
        <v>23</v>
      </c>
      <c r="I103" s="10" t="s">
        <v>9</v>
      </c>
      <c r="J103" s="10" t="s">
        <v>58</v>
      </c>
      <c r="K103" s="10" t="s">
        <v>71</v>
      </c>
      <c r="L103" s="13">
        <v>5.0</v>
      </c>
      <c r="M103" s="13">
        <v>4.0</v>
      </c>
      <c r="N103" s="13">
        <v>1.0</v>
      </c>
      <c r="O103" s="13">
        <v>8.0</v>
      </c>
      <c r="P103" s="10" t="s">
        <v>23</v>
      </c>
      <c r="Q103" s="10" t="s">
        <v>23</v>
      </c>
      <c r="R103" s="10"/>
      <c r="S103" s="10">
        <v>2.0</v>
      </c>
      <c r="T103" s="10"/>
      <c r="U103" s="10" t="s">
        <v>23</v>
      </c>
    </row>
    <row r="104">
      <c r="A104" s="15" t="str">
        <f>HYPERLINK("https://docs.google.com/spreadsheets/d/1sWOJC8eB6rVdXdWiWMgfbfgw2325jIh1ODKxyaCmSGc/edit?usp=sharing","Judd Sergeant")</f>
        <v>Judd Sergeant</v>
      </c>
      <c r="B104" s="13">
        <v>11.0</v>
      </c>
      <c r="C104" s="13">
        <v>40.0</v>
      </c>
      <c r="D104" s="13">
        <v>12.0</v>
      </c>
      <c r="E104" s="16">
        <v>3.33</v>
      </c>
      <c r="F104" s="17">
        <v>0.0907</v>
      </c>
      <c r="G104" s="13">
        <v>33.0</v>
      </c>
      <c r="H104" s="13" t="s">
        <v>23</v>
      </c>
      <c r="I104" s="13" t="s">
        <v>9</v>
      </c>
      <c r="J104" s="13" t="s">
        <v>58</v>
      </c>
      <c r="K104" s="13" t="s">
        <v>56</v>
      </c>
      <c r="L104" s="13">
        <v>8.0</v>
      </c>
      <c r="M104" s="13">
        <v>4.0</v>
      </c>
      <c r="N104" s="13" t="s">
        <v>23</v>
      </c>
      <c r="O104" s="13">
        <v>8.0</v>
      </c>
      <c r="P104" s="13" t="s">
        <v>23</v>
      </c>
      <c r="Q104" s="13" t="s">
        <v>23</v>
      </c>
      <c r="R104" s="13"/>
      <c r="S104" s="13" t="s">
        <v>23</v>
      </c>
      <c r="T104" s="13"/>
      <c r="U104" s="13" t="s">
        <v>23</v>
      </c>
    </row>
    <row r="105">
      <c r="A105" s="9" t="str">
        <f>HYPERLINK("https://docs.google.com/spreadsheets/d/1w0I5RoQ7uENhUG1ncC5V9B3b6BQapplx180-f9F9s4w/edit?usp=sharing","Heidi Strobel")</f>
        <v>Heidi Strobel</v>
      </c>
      <c r="B105" s="10">
        <v>6.0</v>
      </c>
      <c r="C105" s="10">
        <v>40.0</v>
      </c>
      <c r="D105" s="10">
        <v>12.0</v>
      </c>
      <c r="E105" s="11">
        <v>3.33</v>
      </c>
      <c r="F105" s="12">
        <v>0.0823</v>
      </c>
      <c r="G105" s="10">
        <v>36.0</v>
      </c>
      <c r="H105" s="10" t="s">
        <v>23</v>
      </c>
      <c r="I105" s="10" t="s">
        <v>9</v>
      </c>
      <c r="J105" s="10" t="s">
        <v>46</v>
      </c>
      <c r="K105" s="10" t="s">
        <v>52</v>
      </c>
      <c r="L105" s="13">
        <v>6.0</v>
      </c>
      <c r="M105" s="13">
        <v>3.0</v>
      </c>
      <c r="N105" s="13" t="s">
        <v>23</v>
      </c>
      <c r="O105" s="13">
        <v>9.0</v>
      </c>
      <c r="P105" s="10" t="s">
        <v>23</v>
      </c>
      <c r="Q105" s="10" t="s">
        <v>23</v>
      </c>
      <c r="R105" s="10"/>
      <c r="S105" s="10" t="s">
        <v>23</v>
      </c>
      <c r="T105" s="10"/>
      <c r="U105" s="10" t="s">
        <v>23</v>
      </c>
    </row>
    <row r="106">
      <c r="A106" s="9" t="str">
        <f>HYPERLINK("https://docs.google.com/spreadsheets/d/1EZNO7rY3X3GsqJDX9iY8RpZJJDJ-K4nm_Mxm1g397N0/edit?usp=sharing","Frank Garrison")</f>
        <v>Frank Garrison</v>
      </c>
      <c r="B106" s="10">
        <v>3.0</v>
      </c>
      <c r="C106" s="10">
        <v>40.0</v>
      </c>
      <c r="D106" s="10">
        <v>10.0</v>
      </c>
      <c r="E106" s="11">
        <v>4.0</v>
      </c>
      <c r="F106" s="12">
        <v>0.08</v>
      </c>
      <c r="G106" s="10">
        <v>30.0</v>
      </c>
      <c r="H106" s="10" t="s">
        <v>23</v>
      </c>
      <c r="I106" s="10" t="s">
        <v>9</v>
      </c>
      <c r="J106" s="10" t="s">
        <v>43</v>
      </c>
      <c r="K106" s="10" t="s">
        <v>57</v>
      </c>
      <c r="L106" s="13">
        <v>7.0</v>
      </c>
      <c r="M106" s="13">
        <v>3.0</v>
      </c>
      <c r="N106" s="13" t="s">
        <v>23</v>
      </c>
      <c r="O106" s="13">
        <v>7.0</v>
      </c>
      <c r="P106" s="10" t="s">
        <v>23</v>
      </c>
      <c r="Q106" s="10" t="s">
        <v>23</v>
      </c>
      <c r="R106" s="10"/>
      <c r="S106" s="10" t="s">
        <v>23</v>
      </c>
      <c r="T106" s="10"/>
      <c r="U106" s="10" t="s">
        <v>23</v>
      </c>
    </row>
    <row r="107">
      <c r="A107" s="9" t="str">
        <f>HYPERLINK("https://docs.google.com/spreadsheets/d/1nRsx7fR5xbH1eAbI_vBDvqXOgh7mXIwmZNhzrVL6oGM/edit?usp=sharing","Rob Mariano")</f>
        <v>Rob Mariano</v>
      </c>
      <c r="B107" s="10">
        <v>4.0</v>
      </c>
      <c r="C107" s="10">
        <v>40.0</v>
      </c>
      <c r="D107" s="10">
        <v>7.0</v>
      </c>
      <c r="E107" s="11">
        <v>5.71</v>
      </c>
      <c r="F107" s="12">
        <v>0.0837</v>
      </c>
      <c r="G107" s="10">
        <v>21.0</v>
      </c>
      <c r="H107" s="10" t="s">
        <v>23</v>
      </c>
      <c r="I107" s="10" t="s">
        <v>9</v>
      </c>
      <c r="J107" s="10" t="s">
        <v>60</v>
      </c>
      <c r="K107" s="10" t="s">
        <v>61</v>
      </c>
      <c r="L107" s="13">
        <v>1.0</v>
      </c>
      <c r="M107" s="13">
        <v>2.0</v>
      </c>
      <c r="N107" s="13" t="s">
        <v>23</v>
      </c>
      <c r="O107" s="13">
        <v>5.0</v>
      </c>
      <c r="P107" s="10" t="s">
        <v>23</v>
      </c>
      <c r="Q107" s="10" t="s">
        <v>23</v>
      </c>
      <c r="R107" s="10"/>
      <c r="S107" s="10" t="s">
        <v>23</v>
      </c>
      <c r="T107" s="10"/>
      <c r="U107" s="10" t="s">
        <v>23</v>
      </c>
    </row>
    <row r="108">
      <c r="A108" s="18" t="s">
        <v>72</v>
      </c>
      <c r="B108" s="13">
        <v>40.0</v>
      </c>
      <c r="C108" s="13">
        <v>40.0</v>
      </c>
      <c r="D108" s="13">
        <v>15.0</v>
      </c>
      <c r="E108" s="16">
        <v>2.67</v>
      </c>
      <c r="F108" s="17">
        <v>0.0698</v>
      </c>
      <c r="G108" s="13">
        <v>38.0</v>
      </c>
      <c r="H108" s="13">
        <v>1.0</v>
      </c>
      <c r="I108" s="13" t="s">
        <v>9</v>
      </c>
      <c r="J108" s="13" t="s">
        <v>73</v>
      </c>
      <c r="K108" s="13" t="s">
        <v>55</v>
      </c>
      <c r="L108" s="13">
        <v>4.0</v>
      </c>
      <c r="M108" s="13">
        <v>5.0</v>
      </c>
      <c r="N108" s="13" t="s">
        <v>23</v>
      </c>
      <c r="O108" s="13">
        <v>13.0</v>
      </c>
      <c r="P108" s="13" t="s">
        <v>23</v>
      </c>
      <c r="Q108" s="13" t="s">
        <v>23</v>
      </c>
      <c r="R108" s="13" t="s">
        <v>23</v>
      </c>
      <c r="S108" s="13">
        <v>1.0</v>
      </c>
      <c r="T108" s="13">
        <v>4.0</v>
      </c>
      <c r="U108" s="13" t="s">
        <v>23</v>
      </c>
    </row>
    <row r="109">
      <c r="A109" s="15" t="str">
        <f>HYPERLINK("https://docs.google.com/spreadsheets/d/1yi_HtvN4TS5uRWCCFJg5RFaoouiIIe8CAtY_XnqP6iM/edit?usp=sharing","Twila Tanner")</f>
        <v>Twila Tanner</v>
      </c>
      <c r="B109" s="13">
        <v>9.0</v>
      </c>
      <c r="C109" s="13">
        <v>39.0</v>
      </c>
      <c r="D109" s="13">
        <v>14.0</v>
      </c>
      <c r="E109" s="16">
        <v>2.79</v>
      </c>
      <c r="F109" s="17">
        <v>0.0931</v>
      </c>
      <c r="G109" s="13">
        <v>39.0</v>
      </c>
      <c r="H109" s="13" t="s">
        <v>23</v>
      </c>
      <c r="I109" s="13" t="s">
        <v>9</v>
      </c>
      <c r="J109" s="13" t="s">
        <v>26</v>
      </c>
      <c r="K109" s="13" t="s">
        <v>32</v>
      </c>
      <c r="L109" s="13">
        <v>6.0</v>
      </c>
      <c r="M109" s="13">
        <v>4.0</v>
      </c>
      <c r="N109" s="13">
        <v>1.0</v>
      </c>
      <c r="O109" s="13">
        <v>12.0</v>
      </c>
      <c r="P109" s="10" t="s">
        <v>23</v>
      </c>
      <c r="Q109" s="10" t="s">
        <v>23</v>
      </c>
      <c r="R109" s="10"/>
      <c r="S109" s="10" t="s">
        <v>23</v>
      </c>
      <c r="T109" s="10"/>
      <c r="U109" s="10" t="s">
        <v>23</v>
      </c>
    </row>
    <row r="110">
      <c r="A110" s="15" t="str">
        <f>HYPERLINK("https://docs.google.com/spreadsheets/d/1d8Hzm_QCJnDef8NF_dVYBZLjLjFI3Fl8Yt14m8Zhn8Y/edit?usp=sharing","Katie Gallagher")</f>
        <v>Katie Gallagher</v>
      </c>
      <c r="B110" s="13">
        <v>10.0</v>
      </c>
      <c r="C110" s="13">
        <v>39.0</v>
      </c>
      <c r="D110" s="13">
        <v>14.0</v>
      </c>
      <c r="E110" s="16">
        <v>2.79</v>
      </c>
      <c r="F110" s="17">
        <v>0.0913</v>
      </c>
      <c r="G110" s="13">
        <v>39.0</v>
      </c>
      <c r="H110" s="13">
        <v>1.0</v>
      </c>
      <c r="I110" s="13" t="s">
        <v>42</v>
      </c>
      <c r="J110" s="13" t="s">
        <v>26</v>
      </c>
      <c r="K110" s="13" t="s">
        <v>39</v>
      </c>
      <c r="L110" s="13">
        <v>9.0</v>
      </c>
      <c r="M110" s="13">
        <v>7.0</v>
      </c>
      <c r="N110" s="13" t="s">
        <v>23</v>
      </c>
      <c r="O110" s="13">
        <v>9.0</v>
      </c>
      <c r="P110" s="13" t="s">
        <v>23</v>
      </c>
      <c r="Q110" s="13" t="s">
        <v>23</v>
      </c>
      <c r="R110" s="13"/>
      <c r="S110" s="13" t="s">
        <v>23</v>
      </c>
      <c r="T110" s="13" t="s">
        <v>23</v>
      </c>
      <c r="U110" s="13" t="s">
        <v>23</v>
      </c>
    </row>
    <row r="111">
      <c r="A111" s="15" t="str">
        <f>HYPERLINK("https://docs.google.com/spreadsheets/d/1tElnwN2HVf964gGw8Ei53RyfjarS40wkDY3zivAPWp0/edit?usp=sharing","Cirie Fields")</f>
        <v>Cirie Fields</v>
      </c>
      <c r="B111" s="13">
        <v>34.0</v>
      </c>
      <c r="C111" s="13">
        <v>39.0</v>
      </c>
      <c r="D111" s="13">
        <v>14.0</v>
      </c>
      <c r="E111" s="16">
        <v>2.79</v>
      </c>
      <c r="F111" s="17">
        <v>0.0947</v>
      </c>
      <c r="G111" s="13">
        <v>36.0</v>
      </c>
      <c r="H111" s="13">
        <v>2.0</v>
      </c>
      <c r="I111" s="13" t="s">
        <v>9</v>
      </c>
      <c r="J111" s="13" t="s">
        <v>40</v>
      </c>
      <c r="K111" s="13" t="s">
        <v>65</v>
      </c>
      <c r="L111" s="13">
        <v>6.0</v>
      </c>
      <c r="M111" s="13">
        <v>7.0</v>
      </c>
      <c r="N111" s="13" t="s">
        <v>23</v>
      </c>
      <c r="O111" s="13">
        <v>8.0</v>
      </c>
      <c r="P111" s="13" t="s">
        <v>23</v>
      </c>
      <c r="Q111" s="13" t="s">
        <v>23</v>
      </c>
      <c r="R111" s="13"/>
      <c r="S111" s="13" t="s">
        <v>23</v>
      </c>
      <c r="T111" s="13">
        <v>1.0</v>
      </c>
      <c r="U111" s="13" t="s">
        <v>23</v>
      </c>
    </row>
    <row r="112">
      <c r="A112" s="15" t="str">
        <f>HYPERLINK("https://docs.google.com/spreadsheets/d/1Hf_PbZTXAuooCoiF7c3Bz80t5-zCjdWHF8wQ_HyodNs/edit?usp=sharing","Wendell Holland")</f>
        <v>Wendell Holland</v>
      </c>
      <c r="B112" s="13">
        <v>36.0</v>
      </c>
      <c r="C112" s="13">
        <v>39.0</v>
      </c>
      <c r="D112" s="13">
        <v>14.0</v>
      </c>
      <c r="E112" s="16">
        <v>2.79</v>
      </c>
      <c r="F112" s="17">
        <v>0.0992</v>
      </c>
      <c r="G112" s="13">
        <v>39.0</v>
      </c>
      <c r="H112" s="13">
        <v>3.0</v>
      </c>
      <c r="I112" s="13" t="s">
        <v>9</v>
      </c>
      <c r="J112" s="13" t="s">
        <v>28</v>
      </c>
      <c r="K112" s="13" t="s">
        <v>36</v>
      </c>
      <c r="L112" s="13">
        <v>8.0</v>
      </c>
      <c r="M112" s="13">
        <v>6.0</v>
      </c>
      <c r="N112" s="13">
        <v>2.0</v>
      </c>
      <c r="O112" s="13">
        <v>11.0</v>
      </c>
      <c r="P112" s="13">
        <v>1.0</v>
      </c>
      <c r="Q112" s="13" t="s">
        <v>23</v>
      </c>
      <c r="R112" s="13"/>
      <c r="S112" s="13">
        <v>1.0</v>
      </c>
      <c r="T112" s="13">
        <v>1.0</v>
      </c>
      <c r="U112" s="13" t="s">
        <v>23</v>
      </c>
    </row>
    <row r="113">
      <c r="A113" s="9" t="str">
        <f>HYPERLINK("https://docs.google.com/spreadsheets/d/1v6gXy2rHfH0CkzT8zUZyZm6b-WimbnBspkh1B5hksu4/edit?usp=sharing","Chelsea Meissner")</f>
        <v>Chelsea Meissner</v>
      </c>
      <c r="B113" s="10">
        <v>24.0</v>
      </c>
      <c r="C113" s="10">
        <v>38.0</v>
      </c>
      <c r="D113" s="10">
        <v>14.0</v>
      </c>
      <c r="E113" s="11">
        <v>2.71</v>
      </c>
      <c r="F113" s="12">
        <v>0.0995</v>
      </c>
      <c r="G113" s="10">
        <v>39.0</v>
      </c>
      <c r="H113" s="10">
        <v>2.0</v>
      </c>
      <c r="I113" s="10" t="s">
        <v>9</v>
      </c>
      <c r="J113" s="10" t="s">
        <v>33</v>
      </c>
      <c r="K113" s="10" t="s">
        <v>34</v>
      </c>
      <c r="L113" s="13">
        <v>8.0</v>
      </c>
      <c r="M113" s="13">
        <v>3.0</v>
      </c>
      <c r="N113" s="13">
        <v>1.0</v>
      </c>
      <c r="O113" s="13">
        <v>11.0</v>
      </c>
      <c r="P113" s="10" t="s">
        <v>23</v>
      </c>
      <c r="Q113" s="10" t="s">
        <v>23</v>
      </c>
      <c r="R113" s="10"/>
      <c r="S113" s="10" t="s">
        <v>23</v>
      </c>
      <c r="T113" s="10"/>
      <c r="U113" s="10" t="s">
        <v>23</v>
      </c>
    </row>
    <row r="114">
      <c r="A114" s="9" t="str">
        <f>HYPERLINK("https://docs.google.com/spreadsheets/d/1nRsx7fR5xbH1eAbI_vBDvqXOgh7mXIwmZNhzrVL6oGM/edit?usp=sharing","Neleh Dennis")</f>
        <v>Neleh Dennis</v>
      </c>
      <c r="B114" s="10">
        <v>4.0</v>
      </c>
      <c r="C114" s="10">
        <v>38.0</v>
      </c>
      <c r="D114" s="10">
        <v>13.0</v>
      </c>
      <c r="E114" s="11">
        <v>2.92</v>
      </c>
      <c r="F114" s="12">
        <v>0.0795</v>
      </c>
      <c r="G114" s="10">
        <v>39.0</v>
      </c>
      <c r="H114" s="10">
        <v>1.0</v>
      </c>
      <c r="I114" s="10" t="s">
        <v>9</v>
      </c>
      <c r="J114" s="10" t="s">
        <v>26</v>
      </c>
      <c r="K114" s="10" t="s">
        <v>27</v>
      </c>
      <c r="L114" s="13">
        <v>5.0</v>
      </c>
      <c r="M114" s="13">
        <v>4.0</v>
      </c>
      <c r="N114" s="13">
        <v>1.0</v>
      </c>
      <c r="O114" s="13">
        <v>11.0</v>
      </c>
      <c r="P114" s="10" t="s">
        <v>23</v>
      </c>
      <c r="Q114" s="10" t="s">
        <v>23</v>
      </c>
      <c r="R114" s="10"/>
      <c r="S114" s="10" t="s">
        <v>23</v>
      </c>
      <c r="T114" s="10"/>
      <c r="U114" s="10" t="s">
        <v>23</v>
      </c>
    </row>
    <row r="115">
      <c r="A115" s="9" t="str">
        <f>HYPERLINK("https://docs.google.com/spreadsheets/d/1EZNO7rY3X3GsqJDX9iY8RpZJJDJ-K4nm_Mxm1g397N0/edit?usp=sharing","Kim Johnson")</f>
        <v>Kim Johnson</v>
      </c>
      <c r="B115" s="10">
        <v>3.0</v>
      </c>
      <c r="C115" s="10">
        <v>38.0</v>
      </c>
      <c r="D115" s="10">
        <v>13.0</v>
      </c>
      <c r="E115" s="11">
        <v>2.92</v>
      </c>
      <c r="F115" s="12">
        <v>0.076</v>
      </c>
      <c r="G115" s="10">
        <v>39.0</v>
      </c>
      <c r="H115" s="10" t="s">
        <v>23</v>
      </c>
      <c r="I115" s="10" t="s">
        <v>9</v>
      </c>
      <c r="J115" s="10" t="s">
        <v>26</v>
      </c>
      <c r="K115" s="10" t="s">
        <v>27</v>
      </c>
      <c r="L115" s="13">
        <v>4.0</v>
      </c>
      <c r="M115" s="13">
        <v>3.0</v>
      </c>
      <c r="N115" s="13">
        <v>2.0</v>
      </c>
      <c r="O115" s="13">
        <v>12.0</v>
      </c>
      <c r="P115" s="10" t="s">
        <v>23</v>
      </c>
      <c r="Q115" s="10" t="s">
        <v>23</v>
      </c>
      <c r="R115" s="10"/>
      <c r="S115" s="10" t="s">
        <v>23</v>
      </c>
      <c r="T115" s="10"/>
      <c r="U115" s="10" t="s">
        <v>23</v>
      </c>
    </row>
    <row r="116">
      <c r="A116" s="15" t="str">
        <f>HYPERLINK("https://docs.google.com/spreadsheets/d/1yi_HtvN4TS5uRWCCFJg5RFaoouiIIe8CAtY_XnqP6iM/edit?usp=sharing","Ami Cusack")</f>
        <v>Ami Cusack</v>
      </c>
      <c r="B116" s="13">
        <v>9.0</v>
      </c>
      <c r="C116" s="13">
        <v>38.0</v>
      </c>
      <c r="D116" s="13">
        <v>12.0</v>
      </c>
      <c r="E116" s="16">
        <v>3.17</v>
      </c>
      <c r="F116" s="17">
        <v>0.0907</v>
      </c>
      <c r="G116" s="13">
        <v>33.0</v>
      </c>
      <c r="H116" s="13">
        <v>1.0</v>
      </c>
      <c r="I116" s="13" t="s">
        <v>9</v>
      </c>
      <c r="J116" s="13" t="s">
        <v>58</v>
      </c>
      <c r="K116" s="13" t="s">
        <v>56</v>
      </c>
      <c r="L116" s="13">
        <v>7.0</v>
      </c>
      <c r="M116" s="13">
        <v>3.0</v>
      </c>
      <c r="N116" s="13">
        <v>2.0</v>
      </c>
      <c r="O116" s="13">
        <v>9.0</v>
      </c>
      <c r="P116" s="10" t="s">
        <v>23</v>
      </c>
      <c r="Q116" s="10" t="s">
        <v>23</v>
      </c>
      <c r="R116" s="10"/>
      <c r="S116" s="10" t="s">
        <v>23</v>
      </c>
      <c r="T116" s="10"/>
      <c r="U116" s="10" t="s">
        <v>23</v>
      </c>
    </row>
    <row r="117">
      <c r="A117" s="15" t="str">
        <f>HYPERLINK("https://docs.google.com/spreadsheets/d/1sWOJC8eB6rVdXdWiWMgfbfgw2325jIh1ODKxyaCmSGc/edit?usp=sharing","Gary Hogeboom")</f>
        <v>Gary Hogeboom</v>
      </c>
      <c r="B117" s="13">
        <v>11.0</v>
      </c>
      <c r="C117" s="13">
        <v>38.0</v>
      </c>
      <c r="D117" s="13">
        <v>11.0</v>
      </c>
      <c r="E117" s="16">
        <v>3.45</v>
      </c>
      <c r="F117" s="17">
        <v>0.0862</v>
      </c>
      <c r="G117" s="13">
        <v>30.0</v>
      </c>
      <c r="H117" s="13" t="s">
        <v>23</v>
      </c>
      <c r="I117" s="13" t="s">
        <v>9</v>
      </c>
      <c r="J117" s="13" t="s">
        <v>43</v>
      </c>
      <c r="K117" s="13" t="s">
        <v>66</v>
      </c>
      <c r="L117" s="13">
        <v>5.0</v>
      </c>
      <c r="M117" s="13">
        <v>2.0</v>
      </c>
      <c r="N117" s="13">
        <v>2.0</v>
      </c>
      <c r="O117" s="13">
        <v>9.0</v>
      </c>
      <c r="P117" s="13" t="s">
        <v>23</v>
      </c>
      <c r="Q117" s="13" t="s">
        <v>23</v>
      </c>
      <c r="R117" s="13"/>
      <c r="S117" s="13">
        <v>1.0</v>
      </c>
      <c r="T117" s="13" t="s">
        <v>23</v>
      </c>
      <c r="U117" s="13" t="s">
        <v>23</v>
      </c>
    </row>
    <row r="118">
      <c r="A118" s="18" t="s">
        <v>74</v>
      </c>
      <c r="B118" s="13">
        <v>40.0</v>
      </c>
      <c r="C118" s="13">
        <v>38.0</v>
      </c>
      <c r="D118" s="13">
        <v>15.0</v>
      </c>
      <c r="E118" s="16">
        <v>2.53</v>
      </c>
      <c r="F118" s="17">
        <v>0.0663</v>
      </c>
      <c r="G118" s="13" t="s">
        <v>75</v>
      </c>
      <c r="H118" s="13">
        <v>4.0</v>
      </c>
      <c r="I118" s="13" t="s">
        <v>16</v>
      </c>
      <c r="J118" s="13" t="s">
        <v>31</v>
      </c>
      <c r="K118" s="13" t="s">
        <v>39</v>
      </c>
      <c r="L118" s="13" t="s">
        <v>23</v>
      </c>
      <c r="M118" s="13" t="s">
        <v>23</v>
      </c>
      <c r="N118" s="13">
        <v>1.0</v>
      </c>
      <c r="O118" s="13">
        <v>5.0</v>
      </c>
      <c r="P118" s="13" t="s">
        <v>23</v>
      </c>
      <c r="Q118" s="13" t="s">
        <v>23</v>
      </c>
      <c r="R118" s="13">
        <v>1.0</v>
      </c>
      <c r="S118" s="13">
        <v>2.0</v>
      </c>
      <c r="T118" s="13">
        <v>7.0</v>
      </c>
      <c r="U118" s="13" t="s">
        <v>23</v>
      </c>
    </row>
    <row r="119">
      <c r="A119" s="18" t="s">
        <v>76</v>
      </c>
      <c r="B119" s="13">
        <v>40.0</v>
      </c>
      <c r="C119" s="13">
        <v>38.0</v>
      </c>
      <c r="D119" s="13">
        <v>15.0</v>
      </c>
      <c r="E119" s="16">
        <v>2.53</v>
      </c>
      <c r="F119" s="17">
        <v>0.0663</v>
      </c>
      <c r="G119" s="13">
        <v>37.0</v>
      </c>
      <c r="H119" s="13" t="s">
        <v>23</v>
      </c>
      <c r="I119" s="13" t="s">
        <v>9</v>
      </c>
      <c r="J119" s="13" t="s">
        <v>77</v>
      </c>
      <c r="K119" s="13" t="s">
        <v>67</v>
      </c>
      <c r="L119" s="13">
        <v>3.0</v>
      </c>
      <c r="M119" s="13">
        <v>4.0</v>
      </c>
      <c r="N119" s="13" t="s">
        <v>23</v>
      </c>
      <c r="O119" s="13">
        <v>13.0</v>
      </c>
      <c r="P119" s="13" t="s">
        <v>23</v>
      </c>
      <c r="Q119" s="13" t="s">
        <v>23</v>
      </c>
      <c r="R119" s="13" t="s">
        <v>23</v>
      </c>
      <c r="S119" s="13">
        <v>1.0</v>
      </c>
      <c r="T119" s="13" t="s">
        <v>23</v>
      </c>
      <c r="U119" s="13" t="s">
        <v>23</v>
      </c>
    </row>
    <row r="120">
      <c r="A120" s="9" t="str">
        <f>HYPERLINK("https://docs.google.com/spreadsheets/d/1ReMaq-fM8zzflOjjrMrgnxEsdZxPIPIJqiZ9cCLO3cE/edit?usp=sharing","Denise Stapley")</f>
        <v>Denise Stapley</v>
      </c>
      <c r="B120" s="10">
        <v>25.0</v>
      </c>
      <c r="C120" s="10">
        <v>37.0</v>
      </c>
      <c r="D120" s="10">
        <v>14.0</v>
      </c>
      <c r="E120" s="11">
        <v>2.64</v>
      </c>
      <c r="F120" s="12">
        <v>0.0851</v>
      </c>
      <c r="G120" s="10">
        <v>39.0</v>
      </c>
      <c r="H120" s="10" t="s">
        <v>23</v>
      </c>
      <c r="I120" s="10" t="s">
        <v>9</v>
      </c>
      <c r="J120" s="10" t="s">
        <v>28</v>
      </c>
      <c r="K120" s="10" t="s">
        <v>29</v>
      </c>
      <c r="L120" s="13">
        <v>5.0</v>
      </c>
      <c r="M120" s="13" t="s">
        <v>23</v>
      </c>
      <c r="N120" s="13">
        <v>1.0</v>
      </c>
      <c r="O120" s="13">
        <v>15.0</v>
      </c>
      <c r="P120" s="10" t="s">
        <v>23</v>
      </c>
      <c r="Q120" s="10" t="s">
        <v>23</v>
      </c>
      <c r="R120" s="10"/>
      <c r="S120" s="10" t="s">
        <v>23</v>
      </c>
      <c r="T120" s="10"/>
      <c r="U120" s="10" t="s">
        <v>23</v>
      </c>
    </row>
    <row r="121">
      <c r="A121" s="15" t="str">
        <f>HYPERLINK("https://docs.google.com/spreadsheets/d/1t379i2CYDM1ZVdZZy_Nj2m3ht6Sp4J68-xZ2v4-PIMo/edit?usp=sharing","Cydney Gillon")</f>
        <v>Cydney Gillon</v>
      </c>
      <c r="B121" s="13">
        <v>32.0</v>
      </c>
      <c r="C121" s="13">
        <v>37.0</v>
      </c>
      <c r="D121" s="13">
        <v>14.0</v>
      </c>
      <c r="E121" s="16">
        <v>2.64</v>
      </c>
      <c r="F121" s="17">
        <v>0.0749</v>
      </c>
      <c r="G121" s="13">
        <v>37.0</v>
      </c>
      <c r="H121" s="13">
        <v>1.0</v>
      </c>
      <c r="I121" s="13" t="s">
        <v>9</v>
      </c>
      <c r="J121" s="13" t="s">
        <v>40</v>
      </c>
      <c r="K121" s="13" t="s">
        <v>41</v>
      </c>
      <c r="L121" s="13">
        <v>5.0</v>
      </c>
      <c r="M121" s="13">
        <v>3.0</v>
      </c>
      <c r="N121" s="13">
        <v>1.0</v>
      </c>
      <c r="O121" s="13">
        <v>9.0</v>
      </c>
      <c r="P121" s="13" t="s">
        <v>23</v>
      </c>
      <c r="Q121" s="13" t="s">
        <v>23</v>
      </c>
      <c r="R121" s="13"/>
      <c r="S121" s="13" t="s">
        <v>23</v>
      </c>
      <c r="T121" s="13"/>
      <c r="U121" s="13" t="s">
        <v>23</v>
      </c>
    </row>
    <row r="122">
      <c r="A122" s="9" t="str">
        <f>HYPERLINK("https://docs.google.com/spreadsheets/d/1hg_GT4r2smQsgkwEYBqHOukVavnNSyncsyfceWDpOho/edit?usp=sharing","Shii Ann Huang")</f>
        <v>Shii Ann Huang</v>
      </c>
      <c r="B122" s="10">
        <v>8.0</v>
      </c>
      <c r="C122" s="10">
        <v>37.0</v>
      </c>
      <c r="D122" s="10">
        <v>13.0</v>
      </c>
      <c r="E122" s="11">
        <v>2.85</v>
      </c>
      <c r="F122" s="12">
        <v>0.073</v>
      </c>
      <c r="G122" s="10">
        <v>33.0</v>
      </c>
      <c r="H122" s="10">
        <v>2.0</v>
      </c>
      <c r="I122" s="10" t="s">
        <v>9</v>
      </c>
      <c r="J122" s="10" t="s">
        <v>58</v>
      </c>
      <c r="K122" s="10" t="s">
        <v>56</v>
      </c>
      <c r="L122" s="13">
        <v>7.0</v>
      </c>
      <c r="M122" s="13">
        <v>3.0</v>
      </c>
      <c r="N122" s="13">
        <v>1.0</v>
      </c>
      <c r="O122" s="13">
        <v>8.0</v>
      </c>
      <c r="P122" s="10" t="s">
        <v>23</v>
      </c>
      <c r="Q122" s="10" t="s">
        <v>23</v>
      </c>
      <c r="R122" s="10"/>
      <c r="S122" s="10" t="s">
        <v>23</v>
      </c>
      <c r="T122" s="10"/>
      <c r="U122" s="10" t="s">
        <v>23</v>
      </c>
    </row>
    <row r="123">
      <c r="A123" s="9" t="str">
        <f>HYPERLINK("https://docs.google.com/spreadsheets/d/1HA0vQC0CSnQtVc8u58vwNd3sIFCc79SKVqM1abMG1hI/edit?usp=sharing","Dan Foley")</f>
        <v>Dan Foley</v>
      </c>
      <c r="B123" s="10">
        <v>30.0</v>
      </c>
      <c r="C123" s="10">
        <v>37.0</v>
      </c>
      <c r="D123" s="10">
        <v>13.0</v>
      </c>
      <c r="E123" s="11">
        <v>2.85</v>
      </c>
      <c r="F123" s="12">
        <v>0.081</v>
      </c>
      <c r="G123" s="10">
        <v>35.0</v>
      </c>
      <c r="H123" s="10">
        <v>2.0</v>
      </c>
      <c r="I123" s="10" t="s">
        <v>9</v>
      </c>
      <c r="J123" s="10" t="s">
        <v>37</v>
      </c>
      <c r="K123" s="10" t="s">
        <v>56</v>
      </c>
      <c r="L123" s="13">
        <v>8.0</v>
      </c>
      <c r="M123" s="13">
        <v>4.0</v>
      </c>
      <c r="N123" s="13" t="s">
        <v>23</v>
      </c>
      <c r="O123" s="13">
        <v>9.0</v>
      </c>
      <c r="P123" s="10" t="s">
        <v>23</v>
      </c>
      <c r="Q123" s="10" t="s">
        <v>23</v>
      </c>
      <c r="R123" s="10"/>
      <c r="S123" s="10" t="s">
        <v>23</v>
      </c>
      <c r="T123" s="10"/>
      <c r="U123" s="10" t="s">
        <v>23</v>
      </c>
    </row>
    <row r="124">
      <c r="A124" s="15" t="str">
        <f>HYPERLINK("https://docs.google.com/spreadsheets/d/1VEbyebFdBtPJKQC_U2uGrW6_v1fn6Hsoz3YYLyCxHR0/edit?usp=sharing","Shane Powers")</f>
        <v>Shane Powers</v>
      </c>
      <c r="B124" s="13">
        <v>12.0</v>
      </c>
      <c r="C124" s="13">
        <v>37.0</v>
      </c>
      <c r="D124" s="13">
        <v>12.0</v>
      </c>
      <c r="E124" s="16">
        <v>3.08</v>
      </c>
      <c r="F124" s="17">
        <v>0.0124</v>
      </c>
      <c r="G124" s="13">
        <v>33.0</v>
      </c>
      <c r="H124" s="13">
        <v>2.0</v>
      </c>
      <c r="I124" s="13" t="s">
        <v>9</v>
      </c>
      <c r="J124" s="13" t="s">
        <v>46</v>
      </c>
      <c r="K124" s="13" t="s">
        <v>52</v>
      </c>
      <c r="L124" s="13">
        <v>6.0</v>
      </c>
      <c r="M124" s="13">
        <v>4.0</v>
      </c>
      <c r="N124" s="13" t="s">
        <v>23</v>
      </c>
      <c r="O124" s="13">
        <v>7.0</v>
      </c>
      <c r="P124" s="13" t="s">
        <v>23</v>
      </c>
      <c r="Q124" s="13" t="s">
        <v>23</v>
      </c>
      <c r="R124" s="13"/>
      <c r="S124" s="13" t="s">
        <v>23</v>
      </c>
      <c r="T124" s="13" t="s">
        <v>23</v>
      </c>
      <c r="U124" s="13" t="s">
        <v>23</v>
      </c>
    </row>
    <row r="125">
      <c r="A125" s="9" t="str">
        <f>HYPERLINK("https://docs.google.com/spreadsheets/d/1nRsx7fR5xbH1eAbI_vBDvqXOgh7mXIwmZNhzrVL6oGM/edit?usp=sharing","Gina Crews")</f>
        <v>Gina Crews</v>
      </c>
      <c r="B125" s="10">
        <v>4.0</v>
      </c>
      <c r="C125" s="10">
        <v>37.0</v>
      </c>
      <c r="D125" s="10">
        <v>6.0</v>
      </c>
      <c r="E125" s="11">
        <v>6.17</v>
      </c>
      <c r="F125" s="12">
        <v>0.0774</v>
      </c>
      <c r="G125" s="10">
        <v>18.0</v>
      </c>
      <c r="H125" s="10" t="s">
        <v>23</v>
      </c>
      <c r="I125" s="10" t="s">
        <v>42</v>
      </c>
      <c r="J125" s="10" t="s">
        <v>60</v>
      </c>
      <c r="K125" s="10" t="s">
        <v>78</v>
      </c>
      <c r="L125" s="13">
        <v>2.0</v>
      </c>
      <c r="M125" s="13">
        <v>1.0</v>
      </c>
      <c r="N125" s="13" t="s">
        <v>23</v>
      </c>
      <c r="O125" s="13">
        <v>5.0</v>
      </c>
      <c r="P125" s="10" t="s">
        <v>23</v>
      </c>
      <c r="Q125" s="10" t="s">
        <v>23</v>
      </c>
      <c r="R125" s="10"/>
      <c r="S125" s="10" t="s">
        <v>23</v>
      </c>
      <c r="T125" s="10"/>
      <c r="U125" s="10" t="s">
        <v>23</v>
      </c>
    </row>
    <row r="126">
      <c r="A126" s="18" t="s">
        <v>79</v>
      </c>
      <c r="B126" s="13">
        <v>40.0</v>
      </c>
      <c r="C126" s="13">
        <v>37.0</v>
      </c>
      <c r="D126" s="13">
        <v>15.0</v>
      </c>
      <c r="E126" s="16">
        <v>2.47</v>
      </c>
      <c r="F126" s="17">
        <v>0.0646</v>
      </c>
      <c r="G126" s="13">
        <v>39.0</v>
      </c>
      <c r="H126" s="13">
        <v>3.0</v>
      </c>
      <c r="I126" s="13" t="s">
        <v>9</v>
      </c>
      <c r="J126" s="13" t="s">
        <v>33</v>
      </c>
      <c r="K126" s="13" t="s">
        <v>62</v>
      </c>
      <c r="L126" s="13">
        <v>2.0</v>
      </c>
      <c r="M126" s="13">
        <v>3.0</v>
      </c>
      <c r="N126" s="13">
        <v>2.0</v>
      </c>
      <c r="O126" s="13">
        <v>16.0</v>
      </c>
      <c r="P126" s="13" t="s">
        <v>23</v>
      </c>
      <c r="Q126" s="13" t="s">
        <v>23</v>
      </c>
      <c r="R126" s="13" t="s">
        <v>23</v>
      </c>
      <c r="S126" s="13" t="s">
        <v>23</v>
      </c>
      <c r="T126" s="13">
        <v>5.0</v>
      </c>
      <c r="U126" s="13" t="s">
        <v>23</v>
      </c>
    </row>
    <row r="127">
      <c r="A127" s="18" t="s">
        <v>80</v>
      </c>
      <c r="B127" s="13">
        <v>40.0</v>
      </c>
      <c r="C127" s="13">
        <v>37.0</v>
      </c>
      <c r="D127" s="13">
        <v>15.0</v>
      </c>
      <c r="E127" s="16">
        <v>2.47</v>
      </c>
      <c r="F127" s="17">
        <v>0.0646</v>
      </c>
      <c r="G127" s="13" t="s">
        <v>81</v>
      </c>
      <c r="H127" s="13">
        <v>4.0</v>
      </c>
      <c r="I127" s="13" t="s">
        <v>9</v>
      </c>
      <c r="J127" s="13" t="s">
        <v>40</v>
      </c>
      <c r="K127" s="13" t="s">
        <v>82</v>
      </c>
      <c r="L127" s="13">
        <v>2.0</v>
      </c>
      <c r="M127" s="13">
        <v>4.0</v>
      </c>
      <c r="N127" s="13" t="s">
        <v>23</v>
      </c>
      <c r="O127" s="13">
        <v>6.0</v>
      </c>
      <c r="P127" s="13" t="s">
        <v>23</v>
      </c>
      <c r="Q127" s="13" t="s">
        <v>23</v>
      </c>
      <c r="R127" s="13">
        <v>1.0</v>
      </c>
      <c r="S127" s="13">
        <v>1.0</v>
      </c>
      <c r="T127" s="24"/>
      <c r="U127" s="13" t="s">
        <v>23</v>
      </c>
    </row>
    <row r="128">
      <c r="A128" s="9" t="str">
        <f>HYPERLINK("https://docs.google.com/spreadsheets/d/1y7awzkkkaNlh7XKjc44AGriTvqB9H3pVz8cFLyIYdbo/edit?usp=sharing","Woo Hwang")</f>
        <v>Woo Hwang</v>
      </c>
      <c r="B128" s="10">
        <v>28.0</v>
      </c>
      <c r="C128" s="10">
        <v>36.0</v>
      </c>
      <c r="D128" s="10">
        <v>14.0</v>
      </c>
      <c r="E128" s="11">
        <v>2.57</v>
      </c>
      <c r="F128" s="12">
        <v>0.0784</v>
      </c>
      <c r="G128" s="10">
        <v>39.0</v>
      </c>
      <c r="H128" s="10">
        <v>2.0</v>
      </c>
      <c r="I128" s="10" t="s">
        <v>9</v>
      </c>
      <c r="J128" s="10" t="s">
        <v>26</v>
      </c>
      <c r="K128" s="10" t="s">
        <v>32</v>
      </c>
      <c r="L128" s="13">
        <v>9.0</v>
      </c>
      <c r="M128" s="13">
        <v>5.0</v>
      </c>
      <c r="N128" s="13">
        <v>2.0</v>
      </c>
      <c r="O128" s="13">
        <v>11.0</v>
      </c>
      <c r="P128" s="10" t="s">
        <v>23</v>
      </c>
      <c r="Q128" s="10" t="s">
        <v>23</v>
      </c>
      <c r="R128" s="10"/>
      <c r="S128" s="10" t="s">
        <v>23</v>
      </c>
      <c r="T128" s="10"/>
      <c r="U128" s="10" t="s">
        <v>23</v>
      </c>
    </row>
    <row r="129">
      <c r="A129" s="9" t="str">
        <f>HYPERLINK("https://docs.google.com/spreadsheets/d/1nYlVL4RxK2ZUH-a4MfKCalHyEjDRWz2ZumhyoaYsjTE/edit?usp=sharing","Chase Rice")</f>
        <v>Chase Rice</v>
      </c>
      <c r="B129" s="10">
        <v>21.0</v>
      </c>
      <c r="C129" s="10">
        <v>36.0</v>
      </c>
      <c r="D129" s="10">
        <v>14.0</v>
      </c>
      <c r="E129" s="11">
        <v>2.57</v>
      </c>
      <c r="F129" s="12">
        <v>0.0865</v>
      </c>
      <c r="G129" s="10">
        <v>39.0</v>
      </c>
      <c r="H129" s="10">
        <v>2.0</v>
      </c>
      <c r="I129" s="10" t="s">
        <v>9</v>
      </c>
      <c r="J129" s="10" t="s">
        <v>31</v>
      </c>
      <c r="K129" s="10" t="s">
        <v>39</v>
      </c>
      <c r="L129" s="13">
        <v>9.0</v>
      </c>
      <c r="M129" s="13">
        <v>4.0</v>
      </c>
      <c r="N129" s="13" t="s">
        <v>23</v>
      </c>
      <c r="O129" s="13">
        <v>11.0</v>
      </c>
      <c r="P129" s="10" t="s">
        <v>23</v>
      </c>
      <c r="Q129" s="10" t="s">
        <v>23</v>
      </c>
      <c r="R129" s="10"/>
      <c r="S129" s="10">
        <v>1.0</v>
      </c>
      <c r="T129" s="10"/>
      <c r="U129" s="10" t="s">
        <v>23</v>
      </c>
    </row>
    <row r="130">
      <c r="A130" s="9" t="str">
        <f>HYPERLINK("https://docs.google.com/spreadsheets/d/1iNFGyKFcJm-tPp7Dg94yi7mHCDbJssmAD_PiaDM_tAE/edit?usp=sharing","Baylor Wilson")</f>
        <v>Baylor Wilson</v>
      </c>
      <c r="B130" s="10">
        <v>29.0</v>
      </c>
      <c r="C130" s="10">
        <v>36.0</v>
      </c>
      <c r="D130" s="10">
        <v>14.0</v>
      </c>
      <c r="E130" s="11">
        <v>2.57</v>
      </c>
      <c r="F130" s="12">
        <v>0.0809</v>
      </c>
      <c r="G130" s="10">
        <v>37.0</v>
      </c>
      <c r="H130" s="10">
        <v>1.0</v>
      </c>
      <c r="I130" s="10" t="s">
        <v>9</v>
      </c>
      <c r="J130" s="10" t="s">
        <v>24</v>
      </c>
      <c r="K130" s="10" t="s">
        <v>70</v>
      </c>
      <c r="L130" s="23">
        <v>5.0</v>
      </c>
      <c r="M130" s="23">
        <v>1.0</v>
      </c>
      <c r="N130" s="23">
        <v>1.0</v>
      </c>
      <c r="O130" s="23">
        <v>12.0</v>
      </c>
      <c r="P130" s="23">
        <v>1.0</v>
      </c>
      <c r="Q130" s="23" t="s">
        <v>23</v>
      </c>
      <c r="R130" s="23"/>
      <c r="S130" s="13" t="s">
        <v>23</v>
      </c>
      <c r="T130" s="13"/>
      <c r="U130" s="10" t="s">
        <v>23</v>
      </c>
    </row>
    <row r="131">
      <c r="A131" s="9" t="str">
        <f>HYPERLINK("https://docs.google.com/spreadsheets/d/1nRsx7fR5xbH1eAbI_vBDvqXOgh7mXIwmZNhzrVL6oGM/edit?usp=sharing","Vecepia Towery")</f>
        <v>Vecepia Towery</v>
      </c>
      <c r="B131" s="10">
        <v>4.0</v>
      </c>
      <c r="C131" s="10">
        <v>36.0</v>
      </c>
      <c r="D131" s="10">
        <v>13.0</v>
      </c>
      <c r="E131" s="11">
        <v>2.77</v>
      </c>
      <c r="F131" s="12">
        <v>0.0753</v>
      </c>
      <c r="G131" s="10">
        <v>39.0</v>
      </c>
      <c r="H131" s="10">
        <v>2.0</v>
      </c>
      <c r="I131" s="10" t="s">
        <v>9</v>
      </c>
      <c r="J131" s="10" t="s">
        <v>28</v>
      </c>
      <c r="K131" s="10" t="s">
        <v>30</v>
      </c>
      <c r="L131" s="13" t="s">
        <v>23</v>
      </c>
      <c r="M131" s="13">
        <v>2.0</v>
      </c>
      <c r="N131" s="13">
        <v>2.0</v>
      </c>
      <c r="O131" s="13">
        <v>13.0</v>
      </c>
      <c r="P131" s="10" t="s">
        <v>23</v>
      </c>
      <c r="Q131" s="10" t="s">
        <v>23</v>
      </c>
      <c r="R131" s="10"/>
      <c r="S131" s="10" t="s">
        <v>23</v>
      </c>
      <c r="T131" s="10"/>
      <c r="U131" s="10" t="s">
        <v>23</v>
      </c>
    </row>
    <row r="132">
      <c r="A132" s="15" t="str">
        <f>HYPERLINK("https://docs.google.com/spreadsheets/d/1sWOJC8eB6rVdXdWiWMgfbfgw2325jIh1ODKxyaCmSGc/edit?usp=sharing","Cindy Hall")</f>
        <v>Cindy Hall</v>
      </c>
      <c r="B132" s="13">
        <v>11.0</v>
      </c>
      <c r="C132" s="13">
        <v>36.0</v>
      </c>
      <c r="D132" s="13">
        <v>13.0</v>
      </c>
      <c r="E132" s="16">
        <v>2.77</v>
      </c>
      <c r="F132" s="17">
        <v>0.0816</v>
      </c>
      <c r="G132" s="13">
        <v>36.0</v>
      </c>
      <c r="H132" s="13">
        <v>2.0</v>
      </c>
      <c r="I132" s="13" t="s">
        <v>9</v>
      </c>
      <c r="J132" s="13" t="s">
        <v>46</v>
      </c>
      <c r="K132" s="13" t="s">
        <v>70</v>
      </c>
      <c r="L132" s="13">
        <v>8.0</v>
      </c>
      <c r="M132" s="13">
        <v>4.0</v>
      </c>
      <c r="N132" s="13" t="s">
        <v>23</v>
      </c>
      <c r="O132" s="13">
        <v>9.0</v>
      </c>
      <c r="P132" s="13" t="s">
        <v>23</v>
      </c>
      <c r="Q132" s="13" t="s">
        <v>23</v>
      </c>
      <c r="R132" s="13"/>
      <c r="S132" s="13" t="s">
        <v>23</v>
      </c>
      <c r="T132" s="13" t="s">
        <v>23</v>
      </c>
      <c r="U132" s="13" t="s">
        <v>23</v>
      </c>
    </row>
    <row r="133">
      <c r="A133" s="15" t="str">
        <f>HYPERLINK("https://docs.google.com/spreadsheets/d/1t379i2CYDM1ZVdZZy_Nj2m3ht6Sp4J68-xZ2v4-PIMo/edit?usp=sharing","Scot Pollard")</f>
        <v>Scot Pollard</v>
      </c>
      <c r="B133" s="13">
        <v>32.0</v>
      </c>
      <c r="C133" s="13">
        <v>36.0</v>
      </c>
      <c r="D133" s="13">
        <v>10.0</v>
      </c>
      <c r="E133" s="16">
        <v>3.6</v>
      </c>
      <c r="F133" s="17">
        <v>0.0729</v>
      </c>
      <c r="G133" s="13">
        <v>27.0</v>
      </c>
      <c r="H133" s="13">
        <v>1.0</v>
      </c>
      <c r="I133" s="13" t="s">
        <v>9</v>
      </c>
      <c r="J133" s="13" t="s">
        <v>58</v>
      </c>
      <c r="K133" s="13" t="s">
        <v>47</v>
      </c>
      <c r="L133" s="13">
        <v>5.0</v>
      </c>
      <c r="M133" s="13">
        <v>1.0</v>
      </c>
      <c r="N133" s="13" t="s">
        <v>23</v>
      </c>
      <c r="O133" s="13">
        <v>8.0</v>
      </c>
      <c r="P133" s="13" t="s">
        <v>23</v>
      </c>
      <c r="Q133" s="13" t="s">
        <v>23</v>
      </c>
      <c r="R133" s="13"/>
      <c r="S133" s="13">
        <v>1.0</v>
      </c>
      <c r="T133" s="13"/>
      <c r="U133" s="13" t="s">
        <v>23</v>
      </c>
    </row>
    <row r="134">
      <c r="A134" s="9" t="str">
        <f>HYPERLINK("https://docs.google.com/spreadsheets/d/1HA0vQC0CSnQtVc8u58vwNd3sIFCc79SKVqM1abMG1hI/edit?usp=sharing","Jenn Brown")</f>
        <v>Jenn Brown</v>
      </c>
      <c r="B134" s="10">
        <v>30.0</v>
      </c>
      <c r="C134" s="10">
        <v>36.0</v>
      </c>
      <c r="D134" s="10">
        <v>10.0</v>
      </c>
      <c r="E134" s="11">
        <v>3.6</v>
      </c>
      <c r="F134" s="12">
        <v>0.0788</v>
      </c>
      <c r="G134" s="10">
        <v>27.0</v>
      </c>
      <c r="H134" s="10" t="s">
        <v>23</v>
      </c>
      <c r="I134" s="10" t="s">
        <v>9</v>
      </c>
      <c r="J134" s="10" t="s">
        <v>43</v>
      </c>
      <c r="K134" s="10" t="s">
        <v>83</v>
      </c>
      <c r="L134" s="13">
        <v>5.0</v>
      </c>
      <c r="M134" s="13">
        <v>3.0</v>
      </c>
      <c r="N134" s="13" t="s">
        <v>23</v>
      </c>
      <c r="O134" s="13">
        <v>7.0</v>
      </c>
      <c r="P134" s="10" t="s">
        <v>23</v>
      </c>
      <c r="Q134" s="10" t="s">
        <v>23</v>
      </c>
      <c r="R134" s="10"/>
      <c r="S134" s="10">
        <v>1.0</v>
      </c>
      <c r="T134" s="10"/>
      <c r="U134" s="10" t="s">
        <v>23</v>
      </c>
    </row>
    <row r="135">
      <c r="A135" s="9" t="str">
        <f>HYPERLINK("https://docs.google.com/spreadsheets/d/1iNFGyKFcJm-tPp7Dg94yi7mHCDbJssmAD_PiaDM_tAE/edit?usp=sharing","Josh Canfield")</f>
        <v>Josh Canfield</v>
      </c>
      <c r="B135" s="10">
        <v>29.0</v>
      </c>
      <c r="C135" s="10">
        <v>36.0</v>
      </c>
      <c r="D135" s="10">
        <v>8.0</v>
      </c>
      <c r="E135" s="11">
        <v>4.5</v>
      </c>
      <c r="F135" s="12">
        <v>0.0809</v>
      </c>
      <c r="G135" s="10">
        <v>21.0</v>
      </c>
      <c r="H135" s="10">
        <v>1.0</v>
      </c>
      <c r="I135" s="10" t="s">
        <v>9</v>
      </c>
      <c r="J135" s="10" t="s">
        <v>84</v>
      </c>
      <c r="K135" s="10" t="s">
        <v>85</v>
      </c>
      <c r="L135" s="23">
        <v>2.0</v>
      </c>
      <c r="M135" s="23">
        <v>3.0</v>
      </c>
      <c r="N135" s="23" t="s">
        <v>23</v>
      </c>
      <c r="O135" s="23">
        <v>4.0</v>
      </c>
      <c r="P135" s="23">
        <v>1.0</v>
      </c>
      <c r="Q135" s="23" t="s">
        <v>23</v>
      </c>
      <c r="R135" s="23"/>
      <c r="S135" s="13" t="s">
        <v>23</v>
      </c>
      <c r="T135" s="13"/>
      <c r="U135" s="10" t="s">
        <v>23</v>
      </c>
    </row>
    <row r="136">
      <c r="A136" s="9" t="str">
        <f>HYPERLINK("https://docs.google.com/spreadsheets/d/1X-5lK1sJCBpvE08rC1VdSsGvayqyrC62cK7W45Q4XX8/edit?usp=sharing","Hayden Moss")</f>
        <v>Hayden Moss</v>
      </c>
      <c r="B136" s="10">
        <v>27.0</v>
      </c>
      <c r="C136" s="10">
        <v>35.0</v>
      </c>
      <c r="D136" s="10">
        <v>14.0</v>
      </c>
      <c r="E136" s="11">
        <v>2.5</v>
      </c>
      <c r="F136" s="12">
        <v>0.0808</v>
      </c>
      <c r="G136" s="10">
        <v>36.0</v>
      </c>
      <c r="H136" s="10" t="s">
        <v>23</v>
      </c>
      <c r="I136" s="10" t="s">
        <v>9</v>
      </c>
      <c r="J136" s="10" t="s">
        <v>46</v>
      </c>
      <c r="K136" s="10" t="s">
        <v>44</v>
      </c>
      <c r="L136" s="13">
        <v>6.0</v>
      </c>
      <c r="M136" s="13">
        <v>3.0</v>
      </c>
      <c r="N136" s="13" t="s">
        <v>23</v>
      </c>
      <c r="O136" s="13">
        <v>11.0</v>
      </c>
      <c r="P136" s="13" t="s">
        <v>23</v>
      </c>
      <c r="Q136" s="13">
        <v>1.0</v>
      </c>
      <c r="R136" s="13"/>
      <c r="S136" s="10" t="s">
        <v>23</v>
      </c>
      <c r="T136" s="10"/>
      <c r="U136" s="10" t="s">
        <v>23</v>
      </c>
    </row>
    <row r="137">
      <c r="A137" s="9" t="str">
        <f>HYPERLINK("https://docs.google.com/spreadsheets/d/1LR80O0PvsOvoTuN5gHQd3Rls4b1rZmJd7EZ_DR2oRHs/edit?usp=sharing","Dawn Meehan")</f>
        <v>Dawn Meehan</v>
      </c>
      <c r="B137" s="10">
        <v>26.0</v>
      </c>
      <c r="C137" s="10">
        <v>35.0</v>
      </c>
      <c r="D137" s="10">
        <v>14.0</v>
      </c>
      <c r="E137" s="11">
        <v>2.5</v>
      </c>
      <c r="F137" s="12">
        <v>0.0847</v>
      </c>
      <c r="G137" s="10">
        <v>39.0</v>
      </c>
      <c r="H137" s="10">
        <v>3.0</v>
      </c>
      <c r="I137" s="10" t="s">
        <v>9</v>
      </c>
      <c r="J137" s="10" t="s">
        <v>50</v>
      </c>
      <c r="K137" s="10" t="s">
        <v>53</v>
      </c>
      <c r="L137" s="13">
        <v>8.0</v>
      </c>
      <c r="M137" s="13">
        <v>3.0</v>
      </c>
      <c r="N137" s="13">
        <v>1.0</v>
      </c>
      <c r="O137" s="13">
        <v>13.0</v>
      </c>
      <c r="P137" s="10" t="s">
        <v>23</v>
      </c>
      <c r="Q137" s="10" t="s">
        <v>23</v>
      </c>
      <c r="R137" s="10"/>
      <c r="S137" s="10" t="s">
        <v>23</v>
      </c>
      <c r="T137" s="10"/>
      <c r="U137" s="10" t="s">
        <v>23</v>
      </c>
    </row>
    <row r="138">
      <c r="A138" s="19" t="str">
        <f>HYPERLINK("https://docs.google.com/spreadsheets/d/1TniiK35-AGMNddj9lkge_tT9QfOGXMfX2thnTv8npTo/edit?usp=sharing","Jan Gentry")</f>
        <v>Jan Gentry</v>
      </c>
      <c r="B138" s="20">
        <v>5.0</v>
      </c>
      <c r="C138" s="21">
        <v>35.0</v>
      </c>
      <c r="D138" s="20">
        <v>13.0</v>
      </c>
      <c r="E138" s="22">
        <v>2.69</v>
      </c>
      <c r="F138" s="14">
        <v>0.0725</v>
      </c>
      <c r="G138" s="21">
        <v>38.0</v>
      </c>
      <c r="H138" s="21">
        <v>1.0</v>
      </c>
      <c r="I138" s="10" t="s">
        <v>9</v>
      </c>
      <c r="J138" s="21" t="s">
        <v>24</v>
      </c>
      <c r="K138" s="20" t="s">
        <v>25</v>
      </c>
      <c r="L138" s="13">
        <v>3.0</v>
      </c>
      <c r="M138" s="13">
        <v>5.0</v>
      </c>
      <c r="N138" s="13" t="s">
        <v>23</v>
      </c>
      <c r="O138" s="13">
        <v>9.0</v>
      </c>
      <c r="P138" s="10" t="s">
        <v>23</v>
      </c>
      <c r="Q138" s="10" t="s">
        <v>23</v>
      </c>
      <c r="R138" s="10"/>
      <c r="S138" s="10" t="s">
        <v>23</v>
      </c>
      <c r="T138" s="10"/>
      <c r="U138" s="10" t="s">
        <v>23</v>
      </c>
    </row>
    <row r="139">
      <c r="A139" s="9" t="str">
        <f>HYPERLINK("https://docs.google.com/spreadsheets/d/1X-5lK1sJCBpvE08rC1VdSsGvayqyrC62cK7W45Q4XX8/edit?usp=sharing","Vytas Baskauskas")</f>
        <v>Vytas Baskauskas</v>
      </c>
      <c r="B139" s="10">
        <v>27.0</v>
      </c>
      <c r="C139" s="10">
        <v>35.0</v>
      </c>
      <c r="D139" s="10">
        <v>11.0</v>
      </c>
      <c r="E139" s="11">
        <v>3.18</v>
      </c>
      <c r="F139" s="12">
        <v>0.0808</v>
      </c>
      <c r="G139" s="10">
        <v>27.0</v>
      </c>
      <c r="H139" s="10">
        <v>3.0</v>
      </c>
      <c r="I139" s="10" t="s">
        <v>9</v>
      </c>
      <c r="J139" s="10" t="s">
        <v>48</v>
      </c>
      <c r="K139" s="10" t="s">
        <v>86</v>
      </c>
      <c r="L139" s="13">
        <v>2.0</v>
      </c>
      <c r="M139" s="13">
        <v>1.0</v>
      </c>
      <c r="N139" s="13">
        <v>1.0</v>
      </c>
      <c r="O139" s="13">
        <v>8.0</v>
      </c>
      <c r="P139" s="13" t="s">
        <v>23</v>
      </c>
      <c r="Q139" s="13">
        <v>1.0</v>
      </c>
      <c r="R139" s="13"/>
      <c r="S139" s="10" t="s">
        <v>23</v>
      </c>
      <c r="T139" s="10"/>
      <c r="U139" s="10" t="s">
        <v>23</v>
      </c>
    </row>
    <row r="140">
      <c r="A140" s="9" t="str">
        <f>HYPERLINK("https://docs.google.com/spreadsheets/d/1LR80O0PvsOvoTuN5gHQd3Rls4b1rZmJd7EZ_DR2oRHs/edit?usp=sharing","Malcolm Freberg")</f>
        <v>Malcolm Freberg</v>
      </c>
      <c r="B140" s="10">
        <v>26.0</v>
      </c>
      <c r="C140" s="10">
        <v>35.0</v>
      </c>
      <c r="D140" s="10">
        <v>11.0</v>
      </c>
      <c r="E140" s="11">
        <v>3.18</v>
      </c>
      <c r="F140" s="12">
        <v>0.0847</v>
      </c>
      <c r="G140" s="10">
        <v>30.0</v>
      </c>
      <c r="H140" s="10" t="s">
        <v>23</v>
      </c>
      <c r="I140" s="10" t="s">
        <v>9</v>
      </c>
      <c r="J140" s="10" t="s">
        <v>43</v>
      </c>
      <c r="K140" s="10" t="s">
        <v>63</v>
      </c>
      <c r="L140" s="13">
        <v>8.0</v>
      </c>
      <c r="M140" s="13">
        <v>5.0</v>
      </c>
      <c r="N140" s="13" t="s">
        <v>23</v>
      </c>
      <c r="O140" s="13">
        <v>6.0</v>
      </c>
      <c r="P140" s="10" t="s">
        <v>23</v>
      </c>
      <c r="Q140" s="10" t="s">
        <v>23</v>
      </c>
      <c r="R140" s="10"/>
      <c r="S140" s="10">
        <v>2.0</v>
      </c>
      <c r="T140" s="10"/>
      <c r="U140" s="10" t="s">
        <v>23</v>
      </c>
    </row>
    <row r="141">
      <c r="A141" s="9" t="str">
        <f>HYPERLINK("https://docs.google.com/spreadsheets/d/1EZNO7rY3X3GsqJDX9iY8RpZJJDJ-K4nm_Mxm1g397N0/edit?usp=sharing","Kim Powers")</f>
        <v>Kim Powers</v>
      </c>
      <c r="B141" s="10">
        <v>3.0</v>
      </c>
      <c r="C141" s="10">
        <v>35.0</v>
      </c>
      <c r="D141" s="10">
        <v>11.0</v>
      </c>
      <c r="E141" s="11">
        <v>3.18</v>
      </c>
      <c r="F141" s="12">
        <v>0.07</v>
      </c>
      <c r="G141" s="10">
        <v>33.0</v>
      </c>
      <c r="H141" s="10">
        <v>1.0</v>
      </c>
      <c r="I141" s="10" t="s">
        <v>9</v>
      </c>
      <c r="J141" s="10" t="s">
        <v>58</v>
      </c>
      <c r="K141" s="10" t="s">
        <v>59</v>
      </c>
      <c r="L141" s="13">
        <v>6.0</v>
      </c>
      <c r="M141" s="13">
        <v>3.0</v>
      </c>
      <c r="N141" s="13" t="s">
        <v>23</v>
      </c>
      <c r="O141" s="13">
        <v>8.0</v>
      </c>
      <c r="P141" s="10" t="s">
        <v>23</v>
      </c>
      <c r="Q141" s="10" t="s">
        <v>23</v>
      </c>
      <c r="R141" s="10"/>
      <c r="S141" s="10" t="s">
        <v>23</v>
      </c>
      <c r="T141" s="10"/>
      <c r="U141" s="10" t="s">
        <v>23</v>
      </c>
    </row>
    <row r="142">
      <c r="A142" s="9" t="str">
        <f>HYPERLINK("https://docs.google.com/spreadsheets/d/14eN4V4imd53x81UQVckjyAx_2xIFGXJ8NE4XmE1oDkg/edit?usp=sharing","Greg Buis")</f>
        <v>Greg Buis</v>
      </c>
      <c r="B142" s="10">
        <v>1.0</v>
      </c>
      <c r="C142" s="10">
        <v>35.0</v>
      </c>
      <c r="D142" s="10">
        <v>8.0</v>
      </c>
      <c r="E142" s="11">
        <v>4.38</v>
      </c>
      <c r="F142" s="14">
        <v>0.0533</v>
      </c>
      <c r="G142" s="10">
        <v>24.0</v>
      </c>
      <c r="H142" s="10">
        <v>1.0</v>
      </c>
      <c r="I142" s="10" t="s">
        <v>9</v>
      </c>
      <c r="J142" s="10" t="s">
        <v>84</v>
      </c>
      <c r="K142" s="10" t="s">
        <v>87</v>
      </c>
      <c r="L142" s="13">
        <v>5.0</v>
      </c>
      <c r="M142" s="13">
        <v>3.0</v>
      </c>
      <c r="N142" s="13">
        <v>1.0</v>
      </c>
      <c r="O142" s="13">
        <v>5.0</v>
      </c>
      <c r="P142" s="10" t="s">
        <v>23</v>
      </c>
      <c r="Q142" s="10" t="s">
        <v>23</v>
      </c>
      <c r="R142" s="10"/>
      <c r="S142" s="10" t="s">
        <v>23</v>
      </c>
      <c r="T142" s="10"/>
      <c r="U142" s="10" t="s">
        <v>23</v>
      </c>
    </row>
    <row r="143">
      <c r="A143" s="9" t="str">
        <f>HYPERLINK("https://docs.google.com/spreadsheets/d/18wmIvmUS3SeZNSPQeUzr6sPl9GBYpVSlOaFR_kJCmKo/edit?usp=sharing","Jeff Varner")</f>
        <v>Jeff Varner</v>
      </c>
      <c r="B143" s="10">
        <v>2.0</v>
      </c>
      <c r="C143" s="10">
        <v>35.0</v>
      </c>
      <c r="D143" s="10">
        <v>7.0</v>
      </c>
      <c r="E143" s="11">
        <v>5.0</v>
      </c>
      <c r="F143" s="12">
        <v>0.0624</v>
      </c>
      <c r="G143" s="10">
        <v>21.0</v>
      </c>
      <c r="H143" s="10" t="s">
        <v>23</v>
      </c>
      <c r="I143" s="10" t="s">
        <v>9</v>
      </c>
      <c r="J143" s="10" t="s">
        <v>60</v>
      </c>
      <c r="K143" s="10" t="s">
        <v>61</v>
      </c>
      <c r="L143" s="13">
        <v>3.0</v>
      </c>
      <c r="M143" s="13">
        <v>3.0</v>
      </c>
      <c r="N143" s="13" t="s">
        <v>23</v>
      </c>
      <c r="O143" s="13">
        <v>3.0</v>
      </c>
      <c r="P143" s="10" t="s">
        <v>23</v>
      </c>
      <c r="Q143" s="10" t="s">
        <v>23</v>
      </c>
      <c r="R143" s="10"/>
      <c r="S143" s="10" t="s">
        <v>23</v>
      </c>
      <c r="T143" s="10"/>
      <c r="U143" s="10" t="s">
        <v>23</v>
      </c>
    </row>
    <row r="144">
      <c r="A144" s="9" t="str">
        <f>HYPERLINK("https://docs.google.com/spreadsheets/d/14eN4V4imd53x81UQVckjyAx_2xIFGXJ8NE4XmE1oDkg/edit?usp=sharing","Gretchen Cordy")</f>
        <v>Gretchen Cordy</v>
      </c>
      <c r="B144" s="10">
        <v>1.0</v>
      </c>
      <c r="C144" s="10">
        <v>35.0</v>
      </c>
      <c r="D144" s="10">
        <v>7.0</v>
      </c>
      <c r="E144" s="11">
        <v>5.0</v>
      </c>
      <c r="F144" s="14">
        <v>0.0533</v>
      </c>
      <c r="G144" s="10">
        <v>21.0</v>
      </c>
      <c r="H144" s="10" t="s">
        <v>23</v>
      </c>
      <c r="I144" s="10" t="s">
        <v>9</v>
      </c>
      <c r="J144" s="10" t="s">
        <v>60</v>
      </c>
      <c r="K144" s="10" t="s">
        <v>61</v>
      </c>
      <c r="L144" s="13">
        <v>4.0</v>
      </c>
      <c r="M144" s="13">
        <v>3.0</v>
      </c>
      <c r="N144" s="13" t="s">
        <v>23</v>
      </c>
      <c r="O144" s="13">
        <v>4.0</v>
      </c>
      <c r="P144" s="10" t="s">
        <v>23</v>
      </c>
      <c r="Q144" s="10" t="s">
        <v>23</v>
      </c>
      <c r="R144" s="10"/>
      <c r="S144" s="10" t="s">
        <v>23</v>
      </c>
      <c r="T144" s="10"/>
      <c r="U144" s="10" t="s">
        <v>23</v>
      </c>
    </row>
    <row r="145">
      <c r="A145" s="9" t="str">
        <f>HYPERLINK("https://docs.google.com/spreadsheets/d/1X-5lK1sJCBpvE08rC1VdSsGvayqyrC62cK7W45Q4XX8/edit?usp=sharing","Monica Culpepper")</f>
        <v>Monica Culpepper</v>
      </c>
      <c r="B145" s="10">
        <v>27.0</v>
      </c>
      <c r="C145" s="10">
        <v>34.0</v>
      </c>
      <c r="D145" s="10">
        <v>14.0</v>
      </c>
      <c r="E145" s="11">
        <v>2.43</v>
      </c>
      <c r="F145" s="12">
        <v>0.0785</v>
      </c>
      <c r="G145" s="10">
        <v>39.0</v>
      </c>
      <c r="H145" s="10">
        <v>4.0</v>
      </c>
      <c r="I145" s="10" t="s">
        <v>9</v>
      </c>
      <c r="J145" s="10" t="s">
        <v>31</v>
      </c>
      <c r="K145" s="10" t="s">
        <v>39</v>
      </c>
      <c r="L145" s="13">
        <v>6.0</v>
      </c>
      <c r="M145" s="13">
        <v>4.0</v>
      </c>
      <c r="N145" s="13">
        <v>3.0</v>
      </c>
      <c r="O145" s="13">
        <v>13.0</v>
      </c>
      <c r="P145" s="13" t="s">
        <v>23</v>
      </c>
      <c r="Q145" s="13" t="s">
        <v>23</v>
      </c>
      <c r="R145" s="13"/>
      <c r="S145" s="10" t="s">
        <v>23</v>
      </c>
      <c r="T145" s="10"/>
      <c r="U145" s="10" t="s">
        <v>23</v>
      </c>
    </row>
    <row r="146">
      <c r="A146" s="9" t="str">
        <f>HYPERLINK("https://docs.google.com/spreadsheets/d/18wmIvmUS3SeZNSPQeUzr6sPl9GBYpVSlOaFR_kJCmKo/edit?usp=sharing","Rodger Bingham")</f>
        <v>Rodger Bingham</v>
      </c>
      <c r="B146" s="10">
        <v>2.0</v>
      </c>
      <c r="C146" s="10">
        <v>34.0</v>
      </c>
      <c r="D146" s="10">
        <v>12.0</v>
      </c>
      <c r="E146" s="11">
        <v>2.83</v>
      </c>
      <c r="F146" s="12">
        <v>0.0606</v>
      </c>
      <c r="G146" s="10">
        <v>36.0</v>
      </c>
      <c r="H146" s="10">
        <v>1.0</v>
      </c>
      <c r="I146" s="10" t="s">
        <v>9</v>
      </c>
      <c r="J146" s="10" t="s">
        <v>46</v>
      </c>
      <c r="K146" s="10" t="s">
        <v>52</v>
      </c>
      <c r="L146" s="13">
        <v>4.0</v>
      </c>
      <c r="M146" s="13">
        <v>3.0</v>
      </c>
      <c r="N146" s="13" t="s">
        <v>23</v>
      </c>
      <c r="O146" s="13">
        <v>8.0</v>
      </c>
      <c r="P146" s="10" t="s">
        <v>23</v>
      </c>
      <c r="Q146" s="10" t="s">
        <v>23</v>
      </c>
      <c r="R146" s="10"/>
      <c r="S146" s="10" t="s">
        <v>23</v>
      </c>
      <c r="T146" s="10"/>
      <c r="U146" s="10" t="s">
        <v>23</v>
      </c>
    </row>
    <row r="147">
      <c r="A147" s="15" t="str">
        <f>HYPERLINK("https://docs.google.com/spreadsheets/d/1q-5bbq9txg93Y0eUACxRPTIN5PuRjeDVpNDfeXEw4iE/edit?usp=sharing","Lauren Rimmer")</f>
        <v>Lauren Rimmer</v>
      </c>
      <c r="B147" s="13">
        <v>35.0</v>
      </c>
      <c r="C147" s="13">
        <v>34.0</v>
      </c>
      <c r="D147" s="13">
        <v>12.0</v>
      </c>
      <c r="E147" s="16">
        <v>2.83</v>
      </c>
      <c r="F147" s="17">
        <v>0.0789</v>
      </c>
      <c r="G147" s="13">
        <v>33.0</v>
      </c>
      <c r="H147" s="13" t="s">
        <v>23</v>
      </c>
      <c r="I147" s="13" t="s">
        <v>9</v>
      </c>
      <c r="J147" s="13" t="s">
        <v>46</v>
      </c>
      <c r="K147" s="13" t="s">
        <v>66</v>
      </c>
      <c r="L147" s="13">
        <v>5.0</v>
      </c>
      <c r="M147" s="13">
        <v>4.0</v>
      </c>
      <c r="N147" s="13">
        <v>1.0</v>
      </c>
      <c r="O147" s="13">
        <v>8.0</v>
      </c>
      <c r="P147" s="13" t="s">
        <v>23</v>
      </c>
      <c r="Q147" s="13" t="s">
        <v>23</v>
      </c>
      <c r="R147" s="13"/>
      <c r="S147" s="13">
        <v>1.0</v>
      </c>
      <c r="T147" s="13">
        <v>1.0</v>
      </c>
      <c r="U147" s="13" t="s">
        <v>23</v>
      </c>
    </row>
    <row r="148">
      <c r="A148" s="15" t="str">
        <f>HYPERLINK("https://docs.google.com/spreadsheets/d/1d8Hzm_QCJnDef8NF_dVYBZLjLjFI3Fl8Yt14m8Zhn8Y/edit?usp=sharing","Bobby Jon Drinkard")</f>
        <v>Bobby Jon Drinkard</v>
      </c>
      <c r="B148" s="13">
        <v>10.0</v>
      </c>
      <c r="C148" s="13">
        <v>34.0</v>
      </c>
      <c r="D148" s="13">
        <v>8.0</v>
      </c>
      <c r="E148" s="16">
        <v>4.25</v>
      </c>
      <c r="F148" s="17">
        <v>0.0796</v>
      </c>
      <c r="G148" s="13">
        <v>21.0</v>
      </c>
      <c r="H148" s="13" t="s">
        <v>23</v>
      </c>
      <c r="I148" s="13" t="s">
        <v>42</v>
      </c>
      <c r="J148" s="13" t="s">
        <v>60</v>
      </c>
      <c r="K148" s="13" t="s">
        <v>86</v>
      </c>
      <c r="L148" s="13">
        <v>3.0</v>
      </c>
      <c r="M148" s="13" t="s">
        <v>23</v>
      </c>
      <c r="N148" s="13" t="s">
        <v>23</v>
      </c>
      <c r="O148" s="13">
        <v>8.0</v>
      </c>
      <c r="P148" s="13" t="s">
        <v>23</v>
      </c>
      <c r="Q148" s="13" t="s">
        <v>23</v>
      </c>
      <c r="R148" s="13"/>
      <c r="S148" s="13" t="s">
        <v>23</v>
      </c>
      <c r="T148" s="13" t="s">
        <v>23</v>
      </c>
      <c r="U148" s="13" t="s">
        <v>23</v>
      </c>
    </row>
    <row r="149">
      <c r="A149" s="9" t="str">
        <f>HYPERLINK("https://docs.google.com/spreadsheets/d/1EZNO7rY3X3GsqJDX9iY8RpZJJDJ-K4nm_Mxm1g397N0/edit?usp=sharing","Lindsey Richter")</f>
        <v>Lindsey Richter</v>
      </c>
      <c r="B149" s="10">
        <v>3.0</v>
      </c>
      <c r="C149" s="10">
        <v>34.0</v>
      </c>
      <c r="D149" s="10">
        <v>6.0</v>
      </c>
      <c r="E149" s="11">
        <v>5.67</v>
      </c>
      <c r="F149" s="12">
        <v>0.068</v>
      </c>
      <c r="G149" s="10">
        <v>18.0</v>
      </c>
      <c r="H149" s="10" t="s">
        <v>23</v>
      </c>
      <c r="I149" s="10" t="s">
        <v>42</v>
      </c>
      <c r="J149" s="10" t="s">
        <v>60</v>
      </c>
      <c r="K149" s="10" t="s">
        <v>78</v>
      </c>
      <c r="L149" s="13">
        <v>4.0</v>
      </c>
      <c r="M149" s="13">
        <v>3.0</v>
      </c>
      <c r="N149" s="13" t="s">
        <v>23</v>
      </c>
      <c r="O149" s="13">
        <v>3.0</v>
      </c>
      <c r="P149" s="10" t="s">
        <v>23</v>
      </c>
      <c r="Q149" s="10" t="s">
        <v>23</v>
      </c>
      <c r="R149" s="10"/>
      <c r="S149" s="10" t="s">
        <v>23</v>
      </c>
      <c r="T149" s="10"/>
      <c r="U149" s="10" t="s">
        <v>23</v>
      </c>
    </row>
    <row r="150">
      <c r="A150" s="15" t="str">
        <f>HYPERLINK("https://docs.google.com/spreadsheets/d/1q-5bbq9txg93Y0eUACxRPTIN5PuRjeDVpNDfeXEw4iE/edit?usp=sharing","Mike Zahalsky")</f>
        <v>Mike Zahalsky</v>
      </c>
      <c r="B150" s="13">
        <v>35.0</v>
      </c>
      <c r="C150" s="13">
        <v>33.0</v>
      </c>
      <c r="D150" s="13">
        <v>14.0</v>
      </c>
      <c r="E150" s="16">
        <v>2.36</v>
      </c>
      <c r="F150" s="17">
        <v>0.0766</v>
      </c>
      <c r="G150" s="13">
        <v>37.0</v>
      </c>
      <c r="H150" s="13">
        <v>2.0</v>
      </c>
      <c r="I150" s="13" t="s">
        <v>9</v>
      </c>
      <c r="J150" s="13" t="s">
        <v>24</v>
      </c>
      <c r="K150" s="13" t="s">
        <v>70</v>
      </c>
      <c r="L150" s="13">
        <v>10.0</v>
      </c>
      <c r="M150" s="13">
        <v>6.0</v>
      </c>
      <c r="N150" s="13" t="s">
        <v>23</v>
      </c>
      <c r="O150" s="13">
        <v>8.0</v>
      </c>
      <c r="P150" s="13" t="s">
        <v>23</v>
      </c>
      <c r="Q150" s="13" t="s">
        <v>23</v>
      </c>
      <c r="R150" s="13"/>
      <c r="S150" s="13">
        <v>1.0</v>
      </c>
      <c r="T150" s="13" t="s">
        <v>23</v>
      </c>
      <c r="U150" s="13" t="s">
        <v>23</v>
      </c>
    </row>
    <row r="151">
      <c r="A151" s="15" t="str">
        <f>HYPERLINK("https://docs.google.com/spreadsheets/d/1Hf_PbZTXAuooCoiF7c3Bz80t5-zCjdWHF8wQ_HyodNs/edit?usp=sharing","Donathan Hurley")</f>
        <v>Donathan Hurley</v>
      </c>
      <c r="B151" s="13">
        <v>36.0</v>
      </c>
      <c r="C151" s="13">
        <v>33.0</v>
      </c>
      <c r="D151" s="13">
        <v>14.0</v>
      </c>
      <c r="E151" s="16">
        <v>2.36</v>
      </c>
      <c r="F151" s="17">
        <v>0.084</v>
      </c>
      <c r="G151" s="13">
        <v>37.0</v>
      </c>
      <c r="H151" s="13">
        <v>2.0</v>
      </c>
      <c r="I151" s="13" t="s">
        <v>9</v>
      </c>
      <c r="J151" s="13" t="s">
        <v>45</v>
      </c>
      <c r="K151" s="13" t="s">
        <v>67</v>
      </c>
      <c r="L151" s="13">
        <v>7.0</v>
      </c>
      <c r="M151" s="13">
        <v>3.0</v>
      </c>
      <c r="N151" s="13" t="s">
        <v>23</v>
      </c>
      <c r="O151" s="13">
        <v>11.0</v>
      </c>
      <c r="P151" s="13">
        <v>1.0</v>
      </c>
      <c r="Q151" s="13" t="s">
        <v>23</v>
      </c>
      <c r="R151" s="13"/>
      <c r="S151" s="13">
        <v>1.0</v>
      </c>
      <c r="T151" s="13" t="s">
        <v>23</v>
      </c>
      <c r="U151" s="13" t="s">
        <v>23</v>
      </c>
    </row>
    <row r="152">
      <c r="A152" s="9" t="str">
        <f>HYPERLINK("https://docs.google.com/spreadsheets/d/1nYlVL4RxK2ZUH-a4MfKCalHyEjDRWz2ZumhyoaYsjTE/edit?usp=sharing","Jane Bright")</f>
        <v>Jane Bright</v>
      </c>
      <c r="B152" s="10">
        <v>21.0</v>
      </c>
      <c r="C152" s="10">
        <v>33.0</v>
      </c>
      <c r="D152" s="10">
        <v>13.0</v>
      </c>
      <c r="E152" s="11">
        <v>2.54</v>
      </c>
      <c r="F152" s="12">
        <v>0.0793</v>
      </c>
      <c r="G152" s="10">
        <v>36.0</v>
      </c>
      <c r="H152" s="10">
        <v>1.0</v>
      </c>
      <c r="I152" s="10" t="s">
        <v>9</v>
      </c>
      <c r="J152" s="10" t="s">
        <v>24</v>
      </c>
      <c r="K152" s="10" t="s">
        <v>65</v>
      </c>
      <c r="L152" s="13">
        <v>5.0</v>
      </c>
      <c r="M152" s="13">
        <v>2.0</v>
      </c>
      <c r="N152" s="13">
        <v>2.0</v>
      </c>
      <c r="O152" s="13">
        <v>10.0</v>
      </c>
      <c r="P152" s="10" t="s">
        <v>23</v>
      </c>
      <c r="Q152" s="10" t="s">
        <v>23</v>
      </c>
      <c r="R152" s="10"/>
      <c r="S152" s="10" t="s">
        <v>23</v>
      </c>
      <c r="T152" s="10"/>
      <c r="U152" s="10" t="s">
        <v>23</v>
      </c>
    </row>
    <row r="153">
      <c r="A153" s="9" t="str">
        <f>HYPERLINK("https://docs.google.com/spreadsheets/d/1HA0vQC0CSnQtVc8u58vwNd3sIFCc79SKVqM1abMG1hI/edit?usp=sharing","Shirin Oskooi")</f>
        <v>Shirin Oskooi</v>
      </c>
      <c r="B153" s="10">
        <v>30.0</v>
      </c>
      <c r="C153" s="10">
        <v>33.0</v>
      </c>
      <c r="D153" s="10">
        <v>11.0</v>
      </c>
      <c r="E153" s="11">
        <v>3.0</v>
      </c>
      <c r="F153" s="12">
        <v>0.0722</v>
      </c>
      <c r="G153" s="10">
        <v>29.0</v>
      </c>
      <c r="H153" s="10" t="s">
        <v>23</v>
      </c>
      <c r="I153" s="10" t="s">
        <v>9</v>
      </c>
      <c r="J153" s="10" t="s">
        <v>58</v>
      </c>
      <c r="K153" s="10" t="s">
        <v>47</v>
      </c>
      <c r="L153" s="13">
        <v>8.0</v>
      </c>
      <c r="M153" s="13">
        <v>4.0</v>
      </c>
      <c r="N153" s="13" t="s">
        <v>23</v>
      </c>
      <c r="O153" s="13">
        <v>7.0</v>
      </c>
      <c r="P153" s="10" t="s">
        <v>23</v>
      </c>
      <c r="Q153" s="10" t="s">
        <v>23</v>
      </c>
      <c r="R153" s="10"/>
      <c r="S153" s="10" t="s">
        <v>23</v>
      </c>
      <c r="T153" s="10"/>
      <c r="U153" s="10" t="s">
        <v>23</v>
      </c>
    </row>
    <row r="154">
      <c r="A154" s="9" t="str">
        <f>HYPERLINK("https://docs.google.com/spreadsheets/d/1hg_GT4r2smQsgkwEYBqHOukVavnNSyncsyfceWDpOho/edit?usp=sharing","Kathy Vavrick-O'Brien")</f>
        <v>Kathy Vavrick-O'Brien</v>
      </c>
      <c r="B154" s="10">
        <v>8.0</v>
      </c>
      <c r="C154" s="10">
        <v>33.0</v>
      </c>
      <c r="D154" s="10">
        <v>11.0</v>
      </c>
      <c r="E154" s="11">
        <v>3.0</v>
      </c>
      <c r="F154" s="12">
        <v>0.0651</v>
      </c>
      <c r="G154" s="10">
        <v>28.0</v>
      </c>
      <c r="H154" s="10" t="s">
        <v>23</v>
      </c>
      <c r="I154" s="10" t="s">
        <v>9</v>
      </c>
      <c r="J154" s="10" t="s">
        <v>48</v>
      </c>
      <c r="K154" s="10" t="s">
        <v>47</v>
      </c>
      <c r="L154" s="13">
        <v>7.0</v>
      </c>
      <c r="M154" s="13">
        <v>3.0</v>
      </c>
      <c r="N154" s="13">
        <v>1.0</v>
      </c>
      <c r="O154" s="13">
        <v>6.0</v>
      </c>
      <c r="P154" s="10" t="s">
        <v>23</v>
      </c>
      <c r="Q154" s="10" t="s">
        <v>23</v>
      </c>
      <c r="R154" s="10"/>
      <c r="S154" s="10" t="s">
        <v>23</v>
      </c>
      <c r="T154" s="10"/>
      <c r="U154" s="10" t="s">
        <v>23</v>
      </c>
    </row>
    <row r="155">
      <c r="A155" s="9" t="str">
        <f>HYPERLINK("https://docs.google.com/spreadsheets/d/1LR80O0PvsOvoTuN5gHQd3Rls4b1rZmJd7EZ_DR2oRHs/edit?usp=sharing","Phillip Sheppard")</f>
        <v>Phillip Sheppard</v>
      </c>
      <c r="B155" s="10">
        <v>26.0</v>
      </c>
      <c r="C155" s="10">
        <v>33.0</v>
      </c>
      <c r="D155" s="10">
        <v>10.0</v>
      </c>
      <c r="E155" s="11">
        <v>3.3</v>
      </c>
      <c r="F155" s="12">
        <v>0.0799</v>
      </c>
      <c r="G155" s="10">
        <v>28.0</v>
      </c>
      <c r="H155" s="10" t="s">
        <v>23</v>
      </c>
      <c r="I155" s="10" t="s">
        <v>9</v>
      </c>
      <c r="J155" s="10" t="s">
        <v>48</v>
      </c>
      <c r="K155" s="10" t="s">
        <v>86</v>
      </c>
      <c r="L155" s="13">
        <v>8.0</v>
      </c>
      <c r="M155" s="13">
        <v>3.0</v>
      </c>
      <c r="N155" s="13" t="s">
        <v>23</v>
      </c>
      <c r="O155" s="13">
        <v>7.0</v>
      </c>
      <c r="P155" s="10" t="s">
        <v>23</v>
      </c>
      <c r="Q155" s="10" t="s">
        <v>23</v>
      </c>
      <c r="R155" s="10"/>
      <c r="S155" s="10" t="s">
        <v>23</v>
      </c>
      <c r="T155" s="10"/>
      <c r="U155" s="10" t="s">
        <v>23</v>
      </c>
    </row>
    <row r="156">
      <c r="A156" s="9" t="str">
        <f>HYPERLINK("https://docs.google.com/spreadsheets/d/1nRsx7fR5xbH1eAbI_vBDvqXOgh7mXIwmZNhzrVL6oGM/edit?usp=sharing","John Carroll")</f>
        <v>John Carroll</v>
      </c>
      <c r="B156" s="10">
        <v>4.0</v>
      </c>
      <c r="C156" s="10">
        <v>33.0</v>
      </c>
      <c r="D156" s="10">
        <v>8.0</v>
      </c>
      <c r="E156" s="11">
        <v>4.13</v>
      </c>
      <c r="F156" s="12">
        <v>0.069</v>
      </c>
      <c r="G156" s="10">
        <v>24.0</v>
      </c>
      <c r="H156" s="10">
        <v>2.0</v>
      </c>
      <c r="I156" s="10" t="s">
        <v>9</v>
      </c>
      <c r="J156" s="10" t="s">
        <v>84</v>
      </c>
      <c r="K156" s="10" t="s">
        <v>87</v>
      </c>
      <c r="L156" s="13">
        <v>2.0</v>
      </c>
      <c r="M156" s="13">
        <v>5.0</v>
      </c>
      <c r="N156" s="13" t="s">
        <v>23</v>
      </c>
      <c r="O156" s="13">
        <v>3.0</v>
      </c>
      <c r="P156" s="10" t="s">
        <v>23</v>
      </c>
      <c r="Q156" s="10" t="s">
        <v>23</v>
      </c>
      <c r="R156" s="10"/>
      <c r="S156" s="10" t="s">
        <v>23</v>
      </c>
      <c r="T156" s="10"/>
      <c r="U156" s="10" t="s">
        <v>23</v>
      </c>
    </row>
    <row r="157">
      <c r="A157" s="9" t="str">
        <f>HYPERLINK("https://docs.google.com/spreadsheets/d/1w0I5RoQ7uENhUG1ncC5V9B3b6BQapplx180-f9F9s4w/edit?usp=sharing","Dave Johnson")</f>
        <v>Dave Johnson</v>
      </c>
      <c r="B157" s="10">
        <v>6.0</v>
      </c>
      <c r="C157" s="10">
        <v>33.0</v>
      </c>
      <c r="D157" s="10">
        <v>8.0</v>
      </c>
      <c r="E157" s="11">
        <v>4.13</v>
      </c>
      <c r="F157" s="12">
        <v>0.0679</v>
      </c>
      <c r="G157" s="10">
        <v>24.0</v>
      </c>
      <c r="H157" s="10" t="s">
        <v>23</v>
      </c>
      <c r="I157" s="10" t="s">
        <v>9</v>
      </c>
      <c r="J157" s="10" t="s">
        <v>84</v>
      </c>
      <c r="K157" s="10" t="s">
        <v>87</v>
      </c>
      <c r="L157" s="13">
        <v>5.0</v>
      </c>
      <c r="M157" s="13">
        <v>3.0</v>
      </c>
      <c r="N157" s="13" t="s">
        <v>23</v>
      </c>
      <c r="O157" s="13">
        <v>5.0</v>
      </c>
      <c r="P157" s="10" t="s">
        <v>23</v>
      </c>
      <c r="Q157" s="10" t="s">
        <v>23</v>
      </c>
      <c r="R157" s="10"/>
      <c r="S157" s="10" t="s">
        <v>23</v>
      </c>
      <c r="T157" s="10"/>
      <c r="U157" s="10" t="s">
        <v>23</v>
      </c>
    </row>
    <row r="158">
      <c r="A158" s="19" t="str">
        <f>HYPERLINK("https://docs.google.com/spreadsheets/d/1TniiK35-AGMNddj9lkge_tT9QfOGXMfX2thnTv8npTo/edit?usp=sharing","Shii Ann Huang")</f>
        <v>Shii Ann Huang</v>
      </c>
      <c r="B158" s="20">
        <v>5.0</v>
      </c>
      <c r="C158" s="21">
        <v>33.0</v>
      </c>
      <c r="D158" s="20">
        <v>7.0</v>
      </c>
      <c r="E158" s="22">
        <v>4.71</v>
      </c>
      <c r="F158" s="14">
        <v>0.0683</v>
      </c>
      <c r="G158" s="21">
        <v>21.0</v>
      </c>
      <c r="H158" s="21" t="s">
        <v>23</v>
      </c>
      <c r="I158" s="10" t="s">
        <v>42</v>
      </c>
      <c r="J158" s="20" t="s">
        <v>60</v>
      </c>
      <c r="K158" s="20" t="s">
        <v>61</v>
      </c>
      <c r="L158" s="13">
        <v>5.0</v>
      </c>
      <c r="M158" s="13">
        <v>3.0</v>
      </c>
      <c r="N158" s="13" t="s">
        <v>23</v>
      </c>
      <c r="O158" s="13">
        <v>4.0</v>
      </c>
      <c r="P158" s="10" t="s">
        <v>23</v>
      </c>
      <c r="Q158" s="10" t="s">
        <v>23</v>
      </c>
      <c r="R158" s="10"/>
      <c r="S158" s="10" t="s">
        <v>23</v>
      </c>
      <c r="T158" s="10"/>
      <c r="U158" s="10" t="s">
        <v>23</v>
      </c>
    </row>
    <row r="159">
      <c r="A159" s="18" t="s">
        <v>88</v>
      </c>
      <c r="B159" s="13">
        <v>40.0</v>
      </c>
      <c r="C159" s="13">
        <v>33.0</v>
      </c>
      <c r="D159" s="13">
        <v>15.0</v>
      </c>
      <c r="E159" s="16">
        <v>2.2</v>
      </c>
      <c r="F159" s="17">
        <v>0.0576</v>
      </c>
      <c r="G159" s="13" t="s">
        <v>89</v>
      </c>
      <c r="H159" s="13">
        <v>1.0</v>
      </c>
      <c r="I159" s="13" t="s">
        <v>9</v>
      </c>
      <c r="J159" s="13" t="s">
        <v>90</v>
      </c>
      <c r="K159" s="13" t="s">
        <v>71</v>
      </c>
      <c r="L159" s="13">
        <v>2.0</v>
      </c>
      <c r="M159" s="13">
        <v>4.0</v>
      </c>
      <c r="N159" s="13">
        <v>1.0</v>
      </c>
      <c r="O159" s="13">
        <v>10.0</v>
      </c>
      <c r="P159" s="13" t="s">
        <v>23</v>
      </c>
      <c r="Q159" s="13" t="s">
        <v>23</v>
      </c>
      <c r="R159" s="13">
        <v>1.0</v>
      </c>
      <c r="S159" s="13" t="s">
        <v>23</v>
      </c>
      <c r="T159" s="13">
        <v>3.0</v>
      </c>
      <c r="U159" s="13" t="s">
        <v>23</v>
      </c>
    </row>
    <row r="160">
      <c r="A160" s="9" t="str">
        <f>HYPERLINK("https://docs.google.com/spreadsheets/d/1hg_GT4r2smQsgkwEYBqHOukVavnNSyncsyfceWDpOho/edit?usp=sharing","Tom Buchanan")</f>
        <v>Tom Buchanan</v>
      </c>
      <c r="B160" s="10">
        <v>8.0</v>
      </c>
      <c r="C160" s="10">
        <v>32.0</v>
      </c>
      <c r="D160" s="10">
        <v>14.0</v>
      </c>
      <c r="E160" s="11">
        <v>2.29</v>
      </c>
      <c r="F160" s="12">
        <v>0.0631</v>
      </c>
      <c r="G160" s="10">
        <v>36.0</v>
      </c>
      <c r="H160" s="10">
        <v>1.0</v>
      </c>
      <c r="I160" s="10" t="s">
        <v>9</v>
      </c>
      <c r="J160" s="10" t="s">
        <v>46</v>
      </c>
      <c r="K160" s="10" t="s">
        <v>70</v>
      </c>
      <c r="L160" s="13">
        <v>11.0</v>
      </c>
      <c r="M160" s="13">
        <v>5.0</v>
      </c>
      <c r="N160" s="13">
        <v>1.0</v>
      </c>
      <c r="O160" s="13">
        <v>6.0</v>
      </c>
      <c r="P160" s="10" t="s">
        <v>23</v>
      </c>
      <c r="Q160" s="10" t="s">
        <v>23</v>
      </c>
      <c r="R160" s="10"/>
      <c r="S160" s="10" t="s">
        <v>23</v>
      </c>
      <c r="T160" s="10"/>
      <c r="U160" s="10" t="s">
        <v>23</v>
      </c>
    </row>
    <row r="161">
      <c r="A161" s="9" t="str">
        <f>HYPERLINK("https://docs.google.com/spreadsheets/d/1EsGJrNyA7pLwFUlZ6WfOkbnPz58Cle9N9c6epQSDRVA/edit?usp=sharing","Tasha Fox")</f>
        <v>Tasha Fox</v>
      </c>
      <c r="B161" s="10">
        <v>31.0</v>
      </c>
      <c r="C161" s="10">
        <v>32.0</v>
      </c>
      <c r="D161" s="10">
        <v>14.0</v>
      </c>
      <c r="E161" s="11">
        <v>2.29</v>
      </c>
      <c r="F161" s="12">
        <v>0.0731</v>
      </c>
      <c r="G161" s="10">
        <v>39.0</v>
      </c>
      <c r="H161" s="10">
        <v>4.0</v>
      </c>
      <c r="I161" s="10" t="s">
        <v>9</v>
      </c>
      <c r="J161" s="10" t="s">
        <v>50</v>
      </c>
      <c r="K161" s="10" t="s">
        <v>53</v>
      </c>
      <c r="L161" s="13">
        <v>8.0</v>
      </c>
      <c r="M161" s="13">
        <v>4.0</v>
      </c>
      <c r="N161" s="13" t="s">
        <v>23</v>
      </c>
      <c r="O161" s="13">
        <v>13.0</v>
      </c>
      <c r="P161" s="10" t="s">
        <v>23</v>
      </c>
      <c r="Q161" s="10" t="s">
        <v>23</v>
      </c>
      <c r="R161" s="10"/>
      <c r="S161" s="10" t="s">
        <v>23</v>
      </c>
      <c r="T161" s="10"/>
      <c r="U161" s="10" t="s">
        <v>23</v>
      </c>
    </row>
    <row r="162">
      <c r="A162" s="9" t="str">
        <f>HYPERLINK("https://docs.google.com/spreadsheets/d/1CcEdjXKuhm6HmXecNbnscxpFab1HRQEjKSDga6QxqAU/edit?usp=sharing","Matthew Elrod")</f>
        <v>Matthew Elrod</v>
      </c>
      <c r="B162" s="10">
        <v>22.0</v>
      </c>
      <c r="C162" s="10">
        <v>32.0</v>
      </c>
      <c r="D162" s="10">
        <v>14.0</v>
      </c>
      <c r="E162" s="11">
        <v>2.29</v>
      </c>
      <c r="F162" s="12">
        <v>0.0755</v>
      </c>
      <c r="G162" s="10">
        <v>36.0</v>
      </c>
      <c r="H162" s="10">
        <v>1.0</v>
      </c>
      <c r="I162" s="10" t="s">
        <v>9</v>
      </c>
      <c r="J162" s="10" t="s">
        <v>37</v>
      </c>
      <c r="K162" s="10" t="s">
        <v>66</v>
      </c>
      <c r="L162" s="13">
        <v>1.0</v>
      </c>
      <c r="M162" s="13" t="s">
        <v>23</v>
      </c>
      <c r="N162" s="13" t="s">
        <v>23</v>
      </c>
      <c r="O162" s="13">
        <v>3.0</v>
      </c>
      <c r="P162" s="13" t="s">
        <v>23</v>
      </c>
      <c r="Q162" s="13">
        <v>2.0</v>
      </c>
      <c r="R162" s="13"/>
      <c r="S162" s="10" t="s">
        <v>23</v>
      </c>
      <c r="T162" s="10"/>
      <c r="U162" s="10" t="s">
        <v>23</v>
      </c>
    </row>
    <row r="163">
      <c r="A163" s="9" t="str">
        <f>HYPERLINK("https://docs.google.com/spreadsheets/d/1nYlVL4RxK2ZUH-a4MfKCalHyEjDRWz2ZumhyoaYsjTE/edit?usp=sharing","Holly Hoffman")</f>
        <v>Holly Hoffman</v>
      </c>
      <c r="B163" s="10">
        <v>21.0</v>
      </c>
      <c r="C163" s="10">
        <v>32.0</v>
      </c>
      <c r="D163" s="10">
        <v>14.0</v>
      </c>
      <c r="E163" s="11">
        <v>2.29</v>
      </c>
      <c r="F163" s="12">
        <v>0.0769</v>
      </c>
      <c r="G163" s="10">
        <v>38.0</v>
      </c>
      <c r="H163" s="10">
        <v>3.0</v>
      </c>
      <c r="I163" s="10" t="s">
        <v>9</v>
      </c>
      <c r="J163" s="10" t="s">
        <v>45</v>
      </c>
      <c r="K163" s="10" t="s">
        <v>55</v>
      </c>
      <c r="L163" s="13">
        <v>6.0</v>
      </c>
      <c r="M163" s="13">
        <v>2.0</v>
      </c>
      <c r="N163" s="13">
        <v>1.0</v>
      </c>
      <c r="O163" s="13">
        <v>12.0</v>
      </c>
      <c r="P163" s="10" t="s">
        <v>23</v>
      </c>
      <c r="Q163" s="10" t="s">
        <v>23</v>
      </c>
      <c r="R163" s="10"/>
      <c r="S163" s="10" t="s">
        <v>23</v>
      </c>
      <c r="T163" s="10"/>
      <c r="U163" s="10" t="s">
        <v>23</v>
      </c>
    </row>
    <row r="164">
      <c r="A164" s="9" t="str">
        <f>HYPERLINK("https://docs.google.com/spreadsheets/d/1tPYt5CqjX32YXnh0BRsechvszEP2n4_ePabpiRTSzqE/edit?usp=sharing","Christa Hastie")</f>
        <v>Christa Hastie</v>
      </c>
      <c r="B164" s="10">
        <v>7.0</v>
      </c>
      <c r="C164" s="10">
        <v>32.0</v>
      </c>
      <c r="D164" s="10">
        <v>12.0</v>
      </c>
      <c r="E164" s="11">
        <v>2.67</v>
      </c>
      <c r="F164" s="12">
        <v>0.0639</v>
      </c>
      <c r="G164" s="10">
        <v>33.0</v>
      </c>
      <c r="H164" s="10">
        <v>4.0</v>
      </c>
      <c r="I164" s="10" t="s">
        <v>9</v>
      </c>
      <c r="J164" s="10" t="s">
        <v>58</v>
      </c>
      <c r="K164" s="10" t="s">
        <v>59</v>
      </c>
      <c r="L164" s="13">
        <v>4.0</v>
      </c>
      <c r="M164" s="13">
        <v>3.0</v>
      </c>
      <c r="N164" s="13" t="s">
        <v>23</v>
      </c>
      <c r="O164" s="13">
        <v>9.0</v>
      </c>
      <c r="P164" s="10" t="s">
        <v>23</v>
      </c>
      <c r="Q164" s="10" t="s">
        <v>23</v>
      </c>
      <c r="R164" s="10"/>
      <c r="S164" s="10" t="s">
        <v>23</v>
      </c>
      <c r="T164" s="10"/>
      <c r="U164" s="10" t="s">
        <v>23</v>
      </c>
    </row>
    <row r="165">
      <c r="A165" s="15" t="str">
        <f>HYPERLINK("https://docs.google.com/spreadsheets/d/1Hf_PbZTXAuooCoiF7c3Bz80t5-zCjdWHF8wQ_HyodNs/edit?usp=sharing","Michael Yerger")</f>
        <v>Michael Yerger</v>
      </c>
      <c r="B165" s="13">
        <v>36.0</v>
      </c>
      <c r="C165" s="13">
        <v>32.0</v>
      </c>
      <c r="D165" s="13">
        <v>11.0</v>
      </c>
      <c r="E165" s="16">
        <v>2.91</v>
      </c>
      <c r="F165" s="17">
        <v>0.0814</v>
      </c>
      <c r="G165" s="13">
        <v>29.0</v>
      </c>
      <c r="H165" s="13" t="s">
        <v>23</v>
      </c>
      <c r="I165" s="13" t="s">
        <v>9</v>
      </c>
      <c r="J165" s="13" t="s">
        <v>46</v>
      </c>
      <c r="K165" s="13" t="s">
        <v>63</v>
      </c>
      <c r="L165" s="13">
        <v>4.0</v>
      </c>
      <c r="M165" s="13">
        <v>2.0</v>
      </c>
      <c r="N165" s="13" t="s">
        <v>23</v>
      </c>
      <c r="O165" s="13">
        <v>9.0</v>
      </c>
      <c r="P165" s="13" t="s">
        <v>23</v>
      </c>
      <c r="Q165" s="13" t="s">
        <v>23</v>
      </c>
      <c r="R165" s="13"/>
      <c r="S165" s="13">
        <v>2.0</v>
      </c>
      <c r="T165" s="13" t="s">
        <v>23</v>
      </c>
      <c r="U165" s="13" t="s">
        <v>23</v>
      </c>
    </row>
    <row r="166">
      <c r="A166" s="15" t="str">
        <f>HYPERLINK("https://docs.google.com/spreadsheets/d/1tElnwN2HVf964gGw8Ei53RyfjarS40wkDY3zivAPWp0/edit?usp=sharing","Debbie Wanner")</f>
        <v>Debbie Wanner</v>
      </c>
      <c r="B166" s="13">
        <v>34.0</v>
      </c>
      <c r="C166" s="13">
        <v>32.0</v>
      </c>
      <c r="D166" s="13">
        <v>10.0</v>
      </c>
      <c r="E166" s="16">
        <v>3.2</v>
      </c>
      <c r="F166" s="17">
        <v>0.0777</v>
      </c>
      <c r="G166" s="13">
        <v>26.0</v>
      </c>
      <c r="H166" s="13" t="s">
        <v>23</v>
      </c>
      <c r="I166" s="13" t="s">
        <v>9</v>
      </c>
      <c r="J166" s="13" t="s">
        <v>43</v>
      </c>
      <c r="K166" s="13" t="s">
        <v>69</v>
      </c>
      <c r="L166" s="13">
        <v>7.0</v>
      </c>
      <c r="M166" s="13">
        <v>3.0</v>
      </c>
      <c r="N166" s="13" t="s">
        <v>23</v>
      </c>
      <c r="O166" s="13">
        <v>6.0</v>
      </c>
      <c r="P166" s="13">
        <v>1.0</v>
      </c>
      <c r="Q166" s="13" t="s">
        <v>23</v>
      </c>
      <c r="R166" s="13"/>
      <c r="S166" s="13" t="s">
        <v>23</v>
      </c>
      <c r="T166" s="13">
        <v>1.0</v>
      </c>
      <c r="U166" s="13" t="s">
        <v>23</v>
      </c>
    </row>
    <row r="167">
      <c r="A167" s="9" t="str">
        <f>HYPERLINK("https://docs.google.com/spreadsheets/d/1hg_GT4r2smQsgkwEYBqHOukVavnNSyncsyfceWDpOho/edit?usp=sharing","Jerri Manthey")</f>
        <v>Jerri Manthey</v>
      </c>
      <c r="B167" s="10">
        <v>8.0</v>
      </c>
      <c r="C167" s="10">
        <v>32.0</v>
      </c>
      <c r="D167" s="10">
        <v>9.0</v>
      </c>
      <c r="E167" s="11">
        <v>3.56</v>
      </c>
      <c r="F167" s="12">
        <v>0.0631</v>
      </c>
      <c r="G167" s="10">
        <v>24.0</v>
      </c>
      <c r="H167" s="10" t="s">
        <v>23</v>
      </c>
      <c r="I167" s="10" t="s">
        <v>42</v>
      </c>
      <c r="J167" s="10" t="s">
        <v>60</v>
      </c>
      <c r="K167" s="10" t="s">
        <v>68</v>
      </c>
      <c r="L167" s="13">
        <v>4.0</v>
      </c>
      <c r="M167" s="13">
        <v>1.0</v>
      </c>
      <c r="N167" s="13" t="s">
        <v>23</v>
      </c>
      <c r="O167" s="13">
        <v>6.0</v>
      </c>
      <c r="P167" s="10" t="s">
        <v>23</v>
      </c>
      <c r="Q167" s="10" t="s">
        <v>23</v>
      </c>
      <c r="R167" s="10"/>
      <c r="S167" s="10" t="s">
        <v>23</v>
      </c>
      <c r="T167" s="10"/>
      <c r="U167" s="10" t="s">
        <v>23</v>
      </c>
    </row>
    <row r="168">
      <c r="A168" s="15" t="str">
        <f>HYPERLINK("https://docs.google.com/spreadsheets/d/1VEbyebFdBtPJKQC_U2uGrW6_v1fn6Hsoz3YYLyCxHR0/edit?usp=sharing","Austin Carty")</f>
        <v>Austin Carty</v>
      </c>
      <c r="B168" s="13">
        <v>12.0</v>
      </c>
      <c r="C168" s="13">
        <v>32.0</v>
      </c>
      <c r="D168" s="13">
        <v>8.0</v>
      </c>
      <c r="E168" s="16">
        <v>4.0</v>
      </c>
      <c r="F168" s="17">
        <v>0.072</v>
      </c>
      <c r="G168" s="13">
        <v>21.0</v>
      </c>
      <c r="H168" s="13" t="s">
        <v>23</v>
      </c>
      <c r="I168" s="13" t="s">
        <v>9</v>
      </c>
      <c r="J168" s="13" t="s">
        <v>84</v>
      </c>
      <c r="K168" s="13" t="s">
        <v>87</v>
      </c>
      <c r="L168" s="13">
        <v>4.0</v>
      </c>
      <c r="M168" s="13">
        <v>3.0</v>
      </c>
      <c r="N168" s="13" t="s">
        <v>23</v>
      </c>
      <c r="O168" s="13">
        <v>5.0</v>
      </c>
      <c r="P168" s="13">
        <v>1.0</v>
      </c>
      <c r="Q168" s="13" t="s">
        <v>23</v>
      </c>
      <c r="R168" s="13"/>
      <c r="S168" s="13" t="s">
        <v>23</v>
      </c>
      <c r="T168" s="13" t="s">
        <v>23</v>
      </c>
      <c r="U168" s="13" t="s">
        <v>23</v>
      </c>
    </row>
    <row r="169">
      <c r="A169" s="15" t="str">
        <f>HYPERLINK("https://docs.google.com/spreadsheets/d/1tElnwN2HVf964gGw8Ei53RyfjarS40wkDY3zivAPWp0/edit?usp=sharing","Tai Trang")</f>
        <v>Tai Trang</v>
      </c>
      <c r="B169" s="13">
        <v>34.0</v>
      </c>
      <c r="C169" s="13">
        <v>31.0</v>
      </c>
      <c r="D169" s="13">
        <v>14.0</v>
      </c>
      <c r="E169" s="16">
        <v>2.21</v>
      </c>
      <c r="F169" s="17">
        <v>0.0752</v>
      </c>
      <c r="G169" s="13">
        <v>38.0</v>
      </c>
      <c r="H169" s="13">
        <v>1.0</v>
      </c>
      <c r="I169" s="13" t="s">
        <v>9</v>
      </c>
      <c r="J169" s="13" t="s">
        <v>54</v>
      </c>
      <c r="K169" s="13" t="s">
        <v>55</v>
      </c>
      <c r="L169" s="13">
        <v>5.0</v>
      </c>
      <c r="M169" s="13">
        <v>3.0</v>
      </c>
      <c r="N169" s="13">
        <v>1.0</v>
      </c>
      <c r="O169" s="13">
        <v>14.0</v>
      </c>
      <c r="P169" s="13" t="s">
        <v>23</v>
      </c>
      <c r="Q169" s="13" t="s">
        <v>23</v>
      </c>
      <c r="R169" s="13"/>
      <c r="S169" s="13">
        <v>3.0</v>
      </c>
      <c r="T169" s="13" t="s">
        <v>23</v>
      </c>
      <c r="U169" s="13" t="s">
        <v>23</v>
      </c>
    </row>
    <row r="170">
      <c r="A170" s="9" t="str">
        <f>HYPERLINK("https://docs.google.com/spreadsheets/d/1iNFGyKFcJm-tPp7Dg94yi7mHCDbJssmAD_PiaDM_tAE/edit?usp=sharing","Missy Payne")</f>
        <v>Missy Payne</v>
      </c>
      <c r="B170" s="10">
        <v>29.0</v>
      </c>
      <c r="C170" s="10">
        <v>31.0</v>
      </c>
      <c r="D170" s="10">
        <v>14.0</v>
      </c>
      <c r="E170" s="11">
        <v>2.21</v>
      </c>
      <c r="F170" s="12">
        <v>0.0697</v>
      </c>
      <c r="G170" s="10">
        <v>39.0</v>
      </c>
      <c r="H170" s="10">
        <v>1.0</v>
      </c>
      <c r="I170" s="10" t="s">
        <v>9</v>
      </c>
      <c r="J170" s="10" t="s">
        <v>33</v>
      </c>
      <c r="K170" s="10" t="s">
        <v>34</v>
      </c>
      <c r="L170" s="23">
        <v>7.0</v>
      </c>
      <c r="M170" s="23">
        <v>3.0</v>
      </c>
      <c r="N170" s="23" t="s">
        <v>23</v>
      </c>
      <c r="O170" s="23">
        <v>12.0</v>
      </c>
      <c r="P170" s="23" t="s">
        <v>23</v>
      </c>
      <c r="Q170" s="23" t="s">
        <v>23</v>
      </c>
      <c r="R170" s="23"/>
      <c r="S170" s="13" t="s">
        <v>23</v>
      </c>
      <c r="T170" s="13"/>
      <c r="U170" s="10" t="s">
        <v>23</v>
      </c>
    </row>
    <row r="171">
      <c r="A171" s="9" t="str">
        <f>HYPERLINK("https://docs.google.com/spreadsheets/d/1nYlVL4RxK2ZUH-a4MfKCalHyEjDRWz2ZumhyoaYsjTE/edit?usp=sharing","Matthew ""Sash"" Lenahan")</f>
        <v>Matthew "Sash" Lenahan</v>
      </c>
      <c r="B171" s="10">
        <v>21.0</v>
      </c>
      <c r="C171" s="10">
        <v>31.0</v>
      </c>
      <c r="D171" s="10">
        <v>14.0</v>
      </c>
      <c r="E171" s="11">
        <v>2.21</v>
      </c>
      <c r="F171" s="12">
        <v>0.0745</v>
      </c>
      <c r="G171" s="10">
        <v>39.0</v>
      </c>
      <c r="H171" s="10">
        <v>3.0</v>
      </c>
      <c r="I171" s="10" t="s">
        <v>9</v>
      </c>
      <c r="J171" s="10" t="s">
        <v>33</v>
      </c>
      <c r="K171" s="10" t="s">
        <v>62</v>
      </c>
      <c r="L171" s="13">
        <v>7.0</v>
      </c>
      <c r="M171" s="13">
        <v>4.0</v>
      </c>
      <c r="N171" s="13">
        <v>1.0</v>
      </c>
      <c r="O171" s="13">
        <v>11.0</v>
      </c>
      <c r="P171" s="10" t="s">
        <v>23</v>
      </c>
      <c r="Q171" s="10" t="s">
        <v>23</v>
      </c>
      <c r="R171" s="10"/>
      <c r="S171" s="10">
        <v>1.0</v>
      </c>
      <c r="T171" s="10"/>
      <c r="U171" s="10" t="s">
        <v>23</v>
      </c>
    </row>
    <row r="172">
      <c r="A172" s="9" t="str">
        <f>HYPERLINK("https://docs.google.com/spreadsheets/d/1iNFGyKFcJm-tPp7Dg94yi7mHCDbJssmAD_PiaDM_tAE/edit?usp=sharing","Jaclyn Schultz")</f>
        <v>Jaclyn Schultz</v>
      </c>
      <c r="B172" s="10">
        <v>29.0</v>
      </c>
      <c r="C172" s="10">
        <v>31.0</v>
      </c>
      <c r="D172" s="10">
        <v>14.0</v>
      </c>
      <c r="E172" s="11">
        <v>2.21</v>
      </c>
      <c r="F172" s="12">
        <v>0.0697</v>
      </c>
      <c r="G172" s="10">
        <v>39.0</v>
      </c>
      <c r="H172" s="10">
        <v>4.0</v>
      </c>
      <c r="I172" s="10" t="s">
        <v>9</v>
      </c>
      <c r="J172" s="10" t="s">
        <v>26</v>
      </c>
      <c r="K172" s="10" t="s">
        <v>32</v>
      </c>
      <c r="L172" s="23">
        <v>5.0</v>
      </c>
      <c r="M172" s="23">
        <v>1.0</v>
      </c>
      <c r="N172" s="23">
        <v>1.0</v>
      </c>
      <c r="O172" s="23">
        <v>14.0</v>
      </c>
      <c r="P172" s="23">
        <v>2.0</v>
      </c>
      <c r="Q172" s="23" t="s">
        <v>23</v>
      </c>
      <c r="R172" s="23"/>
      <c r="S172" s="13" t="s">
        <v>23</v>
      </c>
      <c r="T172" s="13"/>
      <c r="U172" s="10" t="s">
        <v>23</v>
      </c>
    </row>
    <row r="173">
      <c r="A173" s="9" t="str">
        <f>HYPERLINK("https://docs.google.com/spreadsheets/d/1OvIOVR4AMBMcafVt9o6KEur-eEFhew1kw_KUv3DV3Xs/edit?usp=sharing","Brandon Hantz")</f>
        <v>Brandon Hantz</v>
      </c>
      <c r="B173" s="10">
        <v>23.0</v>
      </c>
      <c r="C173" s="10">
        <v>31.0</v>
      </c>
      <c r="D173" s="10">
        <v>14.0</v>
      </c>
      <c r="E173" s="11">
        <v>2.21</v>
      </c>
      <c r="F173" s="12">
        <v>0.0773</v>
      </c>
      <c r="G173" s="10">
        <v>36.0</v>
      </c>
      <c r="H173" s="10">
        <v>4.0</v>
      </c>
      <c r="I173" s="10" t="s">
        <v>9</v>
      </c>
      <c r="J173" s="10" t="s">
        <v>24</v>
      </c>
      <c r="K173" s="10" t="s">
        <v>56</v>
      </c>
      <c r="L173" s="13">
        <v>6.0</v>
      </c>
      <c r="M173" s="13">
        <v>4.0</v>
      </c>
      <c r="N173" s="13">
        <v>1.0</v>
      </c>
      <c r="O173" s="13">
        <v>11.0</v>
      </c>
      <c r="P173" s="13" t="s">
        <v>23</v>
      </c>
      <c r="Q173" s="13">
        <v>1.0</v>
      </c>
      <c r="R173" s="13"/>
      <c r="S173" s="10" t="s">
        <v>23</v>
      </c>
      <c r="T173" s="10"/>
      <c r="U173" s="10" t="s">
        <v>23</v>
      </c>
    </row>
    <row r="174">
      <c r="A174" s="15" t="str">
        <f>HYPERLINK("https://docs.google.com/spreadsheets/d/1tElnwN2HVf964gGw8Ei53RyfjarS40wkDY3zivAPWp0/edit?usp=sharing","Brad Culpepper")</f>
        <v>Brad Culpepper</v>
      </c>
      <c r="B174" s="13">
        <v>34.0</v>
      </c>
      <c r="C174" s="13">
        <v>31.0</v>
      </c>
      <c r="D174" s="13">
        <v>14.0</v>
      </c>
      <c r="E174" s="16">
        <v>2.21</v>
      </c>
      <c r="F174" s="17">
        <v>0.0752</v>
      </c>
      <c r="G174" s="13">
        <v>39.0</v>
      </c>
      <c r="H174" s="13">
        <v>1.0</v>
      </c>
      <c r="I174" s="13" t="s">
        <v>9</v>
      </c>
      <c r="J174" s="13" t="s">
        <v>31</v>
      </c>
      <c r="K174" s="13" t="s">
        <v>39</v>
      </c>
      <c r="L174" s="13">
        <v>7.0</v>
      </c>
      <c r="M174" s="13">
        <v>5.0</v>
      </c>
      <c r="N174" s="13">
        <v>5.0</v>
      </c>
      <c r="O174" s="13">
        <v>13.0</v>
      </c>
      <c r="P174" s="13" t="s">
        <v>23</v>
      </c>
      <c r="Q174" s="13" t="s">
        <v>23</v>
      </c>
      <c r="R174" s="13"/>
      <c r="S174" s="13" t="s">
        <v>23</v>
      </c>
      <c r="T174" s="13" t="s">
        <v>23</v>
      </c>
      <c r="U174" s="13" t="s">
        <v>23</v>
      </c>
    </row>
    <row r="175">
      <c r="A175" s="9" t="str">
        <f>HYPERLINK("https://docs.google.com/spreadsheets/d/1nRsx7fR5xbH1eAbI_vBDvqXOgh7mXIwmZNhzrVL6oGM/edit?usp=sharing","Tammy Leitner")</f>
        <v>Tammy Leitner</v>
      </c>
      <c r="B175" s="10">
        <v>4.0</v>
      </c>
      <c r="C175" s="10">
        <v>31.0</v>
      </c>
      <c r="D175" s="10">
        <v>10.0</v>
      </c>
      <c r="E175" s="11">
        <v>3.1</v>
      </c>
      <c r="F175" s="12">
        <v>0.0649</v>
      </c>
      <c r="G175" s="10">
        <v>30.0</v>
      </c>
      <c r="H175" s="10" t="s">
        <v>23</v>
      </c>
      <c r="I175" s="10" t="s">
        <v>9</v>
      </c>
      <c r="J175" s="10" t="s">
        <v>43</v>
      </c>
      <c r="K175" s="10" t="s">
        <v>57</v>
      </c>
      <c r="L175" s="13">
        <v>2.0</v>
      </c>
      <c r="M175" s="13">
        <v>5.0</v>
      </c>
      <c r="N175" s="13">
        <v>2.0</v>
      </c>
      <c r="O175" s="13">
        <v>5.0</v>
      </c>
      <c r="P175" s="10" t="s">
        <v>23</v>
      </c>
      <c r="Q175" s="10" t="s">
        <v>23</v>
      </c>
      <c r="R175" s="10"/>
      <c r="S175" s="10" t="s">
        <v>23</v>
      </c>
      <c r="T175" s="10"/>
      <c r="U175" s="10" t="s">
        <v>23</v>
      </c>
    </row>
    <row r="176">
      <c r="A176" s="9" t="str">
        <f>HYPERLINK("https://docs.google.com/spreadsheets/d/1hg_GT4r2smQsgkwEYBqHOukVavnNSyncsyfceWDpOho/edit?usp=sharing","Lex van den Berghe")</f>
        <v>Lex van den Berghe</v>
      </c>
      <c r="B176" s="10">
        <v>8.0</v>
      </c>
      <c r="C176" s="10">
        <v>31.0</v>
      </c>
      <c r="D176" s="10">
        <v>10.0</v>
      </c>
      <c r="E176" s="11">
        <v>3.1</v>
      </c>
      <c r="F176" s="12">
        <v>0.0611</v>
      </c>
      <c r="G176" s="10">
        <v>27.0</v>
      </c>
      <c r="H176" s="10">
        <v>1.0</v>
      </c>
      <c r="I176" s="10" t="s">
        <v>9</v>
      </c>
      <c r="J176" s="10" t="s">
        <v>84</v>
      </c>
      <c r="K176" s="10" t="s">
        <v>83</v>
      </c>
      <c r="L176" s="13">
        <v>5.0</v>
      </c>
      <c r="M176" s="13">
        <v>3.0</v>
      </c>
      <c r="N176" s="13" t="s">
        <v>23</v>
      </c>
      <c r="O176" s="13">
        <v>5.0</v>
      </c>
      <c r="P176" s="10" t="s">
        <v>23</v>
      </c>
      <c r="Q176" s="10" t="s">
        <v>23</v>
      </c>
      <c r="R176" s="10"/>
      <c r="S176" s="10" t="s">
        <v>23</v>
      </c>
      <c r="T176" s="10"/>
      <c r="U176" s="10" t="s">
        <v>23</v>
      </c>
    </row>
    <row r="177">
      <c r="A177" s="15" t="str">
        <f>HYPERLINK("https://docs.google.com/spreadsheets/d/1yi_HtvN4TS5uRWCCFJg5RFaoouiIIe8CAtY_XnqP6iM/edit?usp=sharing","Lea ""Sarge"" Masters")</f>
        <v>Lea "Sarge" Masters</v>
      </c>
      <c r="B177" s="13">
        <v>9.0</v>
      </c>
      <c r="C177" s="13">
        <v>31.0</v>
      </c>
      <c r="D177" s="13">
        <v>9.0</v>
      </c>
      <c r="E177" s="16">
        <v>3.44</v>
      </c>
      <c r="F177" s="17">
        <v>0.074</v>
      </c>
      <c r="G177" s="13">
        <v>24.0</v>
      </c>
      <c r="H177" s="13">
        <v>1.0</v>
      </c>
      <c r="I177" s="13" t="s">
        <v>9</v>
      </c>
      <c r="J177" s="13" t="s">
        <v>84</v>
      </c>
      <c r="K177" s="13" t="s">
        <v>83</v>
      </c>
      <c r="L177" s="13">
        <v>4.0</v>
      </c>
      <c r="M177" s="13">
        <v>3.0</v>
      </c>
      <c r="N177" s="13">
        <v>1.0</v>
      </c>
      <c r="O177" s="13">
        <v>6.0</v>
      </c>
      <c r="P177" s="10" t="s">
        <v>23</v>
      </c>
      <c r="Q177" s="10" t="s">
        <v>23</v>
      </c>
      <c r="R177" s="10"/>
      <c r="S177" s="10" t="s">
        <v>23</v>
      </c>
      <c r="T177" s="10"/>
      <c r="U177" s="10" t="s">
        <v>23</v>
      </c>
    </row>
    <row r="178">
      <c r="A178" s="15" t="str">
        <f>HYPERLINK("https://docs.google.com/spreadsheets/d/1yi_HtvN4TS5uRWCCFJg5RFaoouiIIe8CAtY_XnqP6iM/edit?usp=sharing","Rory Freeman")</f>
        <v>Rory Freeman</v>
      </c>
      <c r="B178" s="13">
        <v>9.0</v>
      </c>
      <c r="C178" s="13">
        <v>31.0</v>
      </c>
      <c r="D178" s="13">
        <v>8.0</v>
      </c>
      <c r="E178" s="16">
        <v>3.88</v>
      </c>
      <c r="F178" s="17">
        <v>0.074</v>
      </c>
      <c r="G178" s="13">
        <v>21.0</v>
      </c>
      <c r="H178" s="13" t="s">
        <v>23</v>
      </c>
      <c r="I178" s="13" t="s">
        <v>9</v>
      </c>
      <c r="J178" s="13" t="s">
        <v>60</v>
      </c>
      <c r="K178" s="13" t="s">
        <v>68</v>
      </c>
      <c r="L178" s="13">
        <v>3.0</v>
      </c>
      <c r="M178" s="13">
        <v>2.0</v>
      </c>
      <c r="N178" s="13" t="s">
        <v>23</v>
      </c>
      <c r="O178" s="13">
        <v>6.0</v>
      </c>
      <c r="P178" s="10" t="s">
        <v>23</v>
      </c>
      <c r="Q178" s="10" t="s">
        <v>23</v>
      </c>
      <c r="R178" s="10"/>
      <c r="S178" s="10" t="s">
        <v>23</v>
      </c>
      <c r="T178" s="10"/>
      <c r="U178" s="10" t="s">
        <v>23</v>
      </c>
    </row>
    <row r="179">
      <c r="A179" s="9" t="str">
        <f>HYPERLINK("https://docs.google.com/spreadsheets/d/1EsGJrNyA7pLwFUlZ6WfOkbnPz58Cle9N9c6epQSDRVA/edit?usp=sharing","Andrew Savage")</f>
        <v>Andrew Savage</v>
      </c>
      <c r="B179" s="10">
        <v>31.0</v>
      </c>
      <c r="C179" s="10">
        <v>31.0</v>
      </c>
      <c r="D179" s="10">
        <v>8.0</v>
      </c>
      <c r="E179" s="11">
        <v>3.88</v>
      </c>
      <c r="F179" s="12">
        <v>0.0708</v>
      </c>
      <c r="G179" s="10">
        <v>21.0</v>
      </c>
      <c r="H179" s="10">
        <v>1.0</v>
      </c>
      <c r="I179" s="10" t="s">
        <v>9</v>
      </c>
      <c r="J179" s="10" t="s">
        <v>48</v>
      </c>
      <c r="K179" s="10" t="s">
        <v>82</v>
      </c>
      <c r="L179" s="13">
        <v>6.0</v>
      </c>
      <c r="M179" s="13">
        <v>3.0</v>
      </c>
      <c r="N179" s="13" t="s">
        <v>23</v>
      </c>
      <c r="O179" s="13">
        <v>5.0</v>
      </c>
      <c r="P179" s="10" t="s">
        <v>23</v>
      </c>
      <c r="Q179" s="10" t="s">
        <v>23</v>
      </c>
      <c r="R179" s="10"/>
      <c r="S179" s="10" t="s">
        <v>23</v>
      </c>
      <c r="T179" s="10"/>
      <c r="U179" s="10" t="s">
        <v>23</v>
      </c>
    </row>
    <row r="180">
      <c r="A180" s="9" t="str">
        <f>HYPERLINK("https://docs.google.com/spreadsheets/d/1ReMaq-fM8zzflOjjrMrgnxEsdZxPIPIJqiZ9cCLO3cE/edit?usp=sharing","Abi-Maria Gomes")</f>
        <v>Abi-Maria Gomes</v>
      </c>
      <c r="B180" s="10">
        <v>25.0</v>
      </c>
      <c r="C180" s="10">
        <v>30.0</v>
      </c>
      <c r="D180" s="10">
        <v>13.0</v>
      </c>
      <c r="E180" s="11">
        <v>2.31</v>
      </c>
      <c r="F180" s="12">
        <v>0.069</v>
      </c>
      <c r="G180" s="10">
        <v>36.0</v>
      </c>
      <c r="H180" s="10">
        <v>3.0</v>
      </c>
      <c r="I180" s="10" t="s">
        <v>9</v>
      </c>
      <c r="J180" s="10" t="s">
        <v>24</v>
      </c>
      <c r="K180" s="10" t="s">
        <v>70</v>
      </c>
      <c r="L180" s="13">
        <v>8.0</v>
      </c>
      <c r="M180" s="13">
        <v>6.0</v>
      </c>
      <c r="N180" s="13">
        <v>1.0</v>
      </c>
      <c r="O180" s="13">
        <v>7.0</v>
      </c>
      <c r="P180" s="10" t="s">
        <v>23</v>
      </c>
      <c r="Q180" s="10" t="s">
        <v>23</v>
      </c>
      <c r="R180" s="10"/>
      <c r="S180" s="10">
        <v>1.0</v>
      </c>
      <c r="T180" s="10"/>
      <c r="U180" s="10" t="s">
        <v>23</v>
      </c>
    </row>
    <row r="181">
      <c r="A181" s="9" t="str">
        <f>HYPERLINK("https://docs.google.com/spreadsheets/d/1EZNO7rY3X3GsqJDX9iY8RpZJJDJ-K4nm_Mxm1g397N0/edit?usp=sharing","Teresa Cooper")</f>
        <v>Teresa Cooper</v>
      </c>
      <c r="B181" s="10">
        <v>3.0</v>
      </c>
      <c r="C181" s="10">
        <v>30.0</v>
      </c>
      <c r="D181" s="10">
        <v>12.0</v>
      </c>
      <c r="E181" s="11">
        <v>2.5</v>
      </c>
      <c r="F181" s="12">
        <v>0.06</v>
      </c>
      <c r="G181" s="10">
        <v>36.0</v>
      </c>
      <c r="H181" s="10">
        <v>1.0</v>
      </c>
      <c r="I181" s="10" t="s">
        <v>9</v>
      </c>
      <c r="J181" s="10" t="s">
        <v>46</v>
      </c>
      <c r="K181" s="10" t="s">
        <v>52</v>
      </c>
      <c r="L181" s="13">
        <v>6.0</v>
      </c>
      <c r="M181" s="13">
        <v>3.0</v>
      </c>
      <c r="N181" s="13">
        <v>1.0</v>
      </c>
      <c r="O181" s="13">
        <v>9.0</v>
      </c>
      <c r="P181" s="10" t="s">
        <v>23</v>
      </c>
      <c r="Q181" s="10" t="s">
        <v>23</v>
      </c>
      <c r="R181" s="10"/>
      <c r="S181" s="10" t="s">
        <v>23</v>
      </c>
      <c r="T181" s="10"/>
      <c r="U181" s="10" t="s">
        <v>23</v>
      </c>
    </row>
    <row r="182">
      <c r="A182" s="9" t="str">
        <f>HYPERLINK("https://docs.google.com/spreadsheets/d/1EsGJrNyA7pLwFUlZ6WfOkbnPz58Cle9N9c6epQSDRVA/edit?usp=sharing","Joe Anglim")</f>
        <v>Joe Anglim</v>
      </c>
      <c r="B182" s="10">
        <v>31.0</v>
      </c>
      <c r="C182" s="10">
        <v>30.0</v>
      </c>
      <c r="D182" s="10">
        <v>12.0</v>
      </c>
      <c r="E182" s="11">
        <v>2.5</v>
      </c>
      <c r="F182" s="12">
        <v>0.0685</v>
      </c>
      <c r="G182" s="10">
        <v>32.0</v>
      </c>
      <c r="H182" s="10">
        <v>1.0</v>
      </c>
      <c r="I182" s="10" t="s">
        <v>9</v>
      </c>
      <c r="J182" s="10" t="s">
        <v>37</v>
      </c>
      <c r="K182" s="10" t="s">
        <v>71</v>
      </c>
      <c r="L182" s="13">
        <v>9.0</v>
      </c>
      <c r="M182" s="13">
        <v>6.0</v>
      </c>
      <c r="N182" s="13">
        <v>4.0</v>
      </c>
      <c r="O182" s="13">
        <v>6.0</v>
      </c>
      <c r="P182" s="10" t="s">
        <v>23</v>
      </c>
      <c r="Q182" s="10" t="s">
        <v>23</v>
      </c>
      <c r="R182" s="10"/>
      <c r="S182" s="10" t="s">
        <v>23</v>
      </c>
      <c r="T182" s="10"/>
      <c r="U182" s="10" t="s">
        <v>23</v>
      </c>
    </row>
    <row r="183">
      <c r="A183" s="15" t="str">
        <f>HYPERLINK("https://docs.google.com/spreadsheets/d/1ZajpFwOHrMmupCcACeLhLTzPOwhTrjKRR1FJtUgeLww/edit?usp=sharing","Hannah Shapiro")</f>
        <v>Hannah Shapiro</v>
      </c>
      <c r="B183" s="13">
        <v>33.0</v>
      </c>
      <c r="C183" s="13">
        <v>29.0</v>
      </c>
      <c r="D183" s="13">
        <v>14.0</v>
      </c>
      <c r="E183" s="16">
        <v>2.07</v>
      </c>
      <c r="F183" s="17">
        <v>0.0667</v>
      </c>
      <c r="G183" s="13">
        <v>39.0</v>
      </c>
      <c r="H183" s="13">
        <v>3.0</v>
      </c>
      <c r="I183" s="13" t="s">
        <v>9</v>
      </c>
      <c r="J183" s="13" t="s">
        <v>50</v>
      </c>
      <c r="K183" s="13" t="s">
        <v>53</v>
      </c>
      <c r="L183" s="13">
        <v>6.0</v>
      </c>
      <c r="M183" s="13">
        <v>5.0</v>
      </c>
      <c r="N183" s="13" t="s">
        <v>23</v>
      </c>
      <c r="O183" s="13">
        <v>13.0</v>
      </c>
      <c r="P183" s="13" t="s">
        <v>23</v>
      </c>
      <c r="Q183" s="13" t="s">
        <v>23</v>
      </c>
      <c r="R183" s="13"/>
      <c r="S183" s="13" t="s">
        <v>23</v>
      </c>
      <c r="T183" s="13" t="s">
        <v>23</v>
      </c>
      <c r="U183" s="13" t="s">
        <v>23</v>
      </c>
    </row>
    <row r="184">
      <c r="A184" s="15" t="str">
        <f>HYPERLINK("https://docs.google.com/spreadsheets/d/1d8Hzm_QCJnDef8NF_dVYBZLjLjFI3Fl8Yt14m8Zhn8Y/edit?usp=sharing","Gregg Carey")</f>
        <v>Gregg Carey</v>
      </c>
      <c r="B184" s="13">
        <v>10.0</v>
      </c>
      <c r="C184" s="13">
        <v>29.0</v>
      </c>
      <c r="D184" s="13">
        <v>12.0</v>
      </c>
      <c r="E184" s="16">
        <v>2.42</v>
      </c>
      <c r="F184" s="17">
        <v>0.0679</v>
      </c>
      <c r="G184" s="13">
        <v>33.0</v>
      </c>
      <c r="H184" s="13">
        <v>3.0</v>
      </c>
      <c r="I184" s="13" t="s">
        <v>42</v>
      </c>
      <c r="J184" s="13" t="s">
        <v>58</v>
      </c>
      <c r="K184" s="13" t="s">
        <v>65</v>
      </c>
      <c r="L184" s="13">
        <v>9.0</v>
      </c>
      <c r="M184" s="13">
        <v>7.0</v>
      </c>
      <c r="N184" s="13" t="s">
        <v>23</v>
      </c>
      <c r="O184" s="13">
        <v>5.0</v>
      </c>
      <c r="P184" s="13" t="s">
        <v>23</v>
      </c>
      <c r="Q184" s="13" t="s">
        <v>23</v>
      </c>
      <c r="R184" s="13"/>
      <c r="S184" s="13" t="s">
        <v>23</v>
      </c>
      <c r="T184" s="13" t="s">
        <v>23</v>
      </c>
      <c r="U184" s="13" t="s">
        <v>23</v>
      </c>
    </row>
    <row r="185">
      <c r="A185" s="9" t="str">
        <f>HYPERLINK("https://docs.google.com/spreadsheets/d/1tPYt5CqjX32YXnh0BRsechvszEP2n4_ePabpiRTSzqE/edit?usp=sharing","Tijuana Bradley")</f>
        <v>Tijuana Bradley</v>
      </c>
      <c r="B185" s="10">
        <v>7.0</v>
      </c>
      <c r="C185" s="10">
        <v>29.0</v>
      </c>
      <c r="D185" s="10">
        <v>11.0</v>
      </c>
      <c r="E185" s="11">
        <v>2.64</v>
      </c>
      <c r="F185" s="12">
        <v>0.0579</v>
      </c>
      <c r="G185" s="10">
        <v>30.0</v>
      </c>
      <c r="H185" s="10">
        <v>2.0</v>
      </c>
      <c r="I185" s="10" t="s">
        <v>9</v>
      </c>
      <c r="J185" s="10" t="s">
        <v>43</v>
      </c>
      <c r="K185" s="10" t="s">
        <v>57</v>
      </c>
      <c r="L185" s="13">
        <v>1.0</v>
      </c>
      <c r="M185" s="13">
        <v>3.0</v>
      </c>
      <c r="N185" s="13" t="s">
        <v>23</v>
      </c>
      <c r="O185" s="13">
        <v>8.0</v>
      </c>
      <c r="P185" s="10" t="s">
        <v>23</v>
      </c>
      <c r="Q185" s="10" t="s">
        <v>23</v>
      </c>
      <c r="R185" s="10"/>
      <c r="S185" s="10" t="s">
        <v>23</v>
      </c>
      <c r="T185" s="10"/>
      <c r="U185" s="10" t="s">
        <v>23</v>
      </c>
    </row>
    <row r="186">
      <c r="A186" s="9" t="str">
        <f>HYPERLINK("https://docs.google.com/spreadsheets/d/1w0I5RoQ7uENhUG1ncC5V9B3b6BQapplx180-f9F9s4w/edit?usp=sharing","Alex Bell")</f>
        <v>Alex Bell</v>
      </c>
      <c r="B186" s="10">
        <v>6.0</v>
      </c>
      <c r="C186" s="10">
        <v>29.0</v>
      </c>
      <c r="D186" s="10">
        <v>10.0</v>
      </c>
      <c r="E186" s="11">
        <v>2.9</v>
      </c>
      <c r="F186" s="12">
        <v>0.0597</v>
      </c>
      <c r="G186" s="10">
        <v>30.0</v>
      </c>
      <c r="H186" s="10" t="s">
        <v>23</v>
      </c>
      <c r="I186" s="10" t="s">
        <v>9</v>
      </c>
      <c r="J186" s="10" t="s">
        <v>43</v>
      </c>
      <c r="K186" s="10" t="s">
        <v>57</v>
      </c>
      <c r="L186" s="13">
        <v>4.0</v>
      </c>
      <c r="M186" s="13">
        <v>3.0</v>
      </c>
      <c r="N186" s="13" t="s">
        <v>23</v>
      </c>
      <c r="O186" s="13">
        <v>7.0</v>
      </c>
      <c r="P186" s="10" t="s">
        <v>23</v>
      </c>
      <c r="Q186" s="10" t="s">
        <v>23</v>
      </c>
      <c r="R186" s="10"/>
      <c r="S186" s="10" t="s">
        <v>23</v>
      </c>
      <c r="T186" s="10"/>
      <c r="U186" s="10" t="s">
        <v>23</v>
      </c>
    </row>
    <row r="187">
      <c r="A187" s="15" t="str">
        <f>HYPERLINK("https://docs.google.com/spreadsheets/d/1VEbyebFdBtPJKQC_U2uGrW6_v1fn6Hsoz3YYLyCxHR0/edit?usp=sharing","Sally Schumann")</f>
        <v>Sally Schumann</v>
      </c>
      <c r="B187" s="13">
        <v>12.0</v>
      </c>
      <c r="C187" s="13">
        <v>29.0</v>
      </c>
      <c r="D187" s="13">
        <v>9.0</v>
      </c>
      <c r="E187" s="16">
        <v>3.22</v>
      </c>
      <c r="F187" s="17">
        <v>0.0794</v>
      </c>
      <c r="G187" s="13">
        <v>24.0</v>
      </c>
      <c r="H187" s="13" t="s">
        <v>23</v>
      </c>
      <c r="I187" s="13" t="s">
        <v>9</v>
      </c>
      <c r="J187" s="13" t="s">
        <v>48</v>
      </c>
      <c r="K187" s="13" t="s">
        <v>49</v>
      </c>
      <c r="L187" s="13">
        <v>5.0</v>
      </c>
      <c r="M187" s="13">
        <v>3.0</v>
      </c>
      <c r="N187" s="13">
        <v>1.0</v>
      </c>
      <c r="O187" s="13">
        <v>5.0</v>
      </c>
      <c r="P187" s="13">
        <v>1.0</v>
      </c>
      <c r="Q187" s="13" t="s">
        <v>23</v>
      </c>
      <c r="R187" s="13"/>
      <c r="S187" s="13" t="s">
        <v>23</v>
      </c>
      <c r="T187" s="13" t="s">
        <v>23</v>
      </c>
      <c r="U187" s="13" t="s">
        <v>23</v>
      </c>
    </row>
    <row r="188">
      <c r="A188" s="9" t="str">
        <f>HYPERLINK("https://docs.google.com/spreadsheets/d/1v6gXy2rHfH0CkzT8zUZyZm6b-WimbnBspkh1B5hksu4/edit?usp=sharing","Colton Cumbie")</f>
        <v>Colton Cumbie</v>
      </c>
      <c r="B188" s="10">
        <v>24.0</v>
      </c>
      <c r="C188" s="10">
        <v>29.0</v>
      </c>
      <c r="D188" s="10">
        <v>6.0</v>
      </c>
      <c r="E188" s="11">
        <v>4.83</v>
      </c>
      <c r="F188" s="12">
        <v>0.0759</v>
      </c>
      <c r="G188" s="10">
        <v>16.0</v>
      </c>
      <c r="H188" s="10" t="s">
        <v>23</v>
      </c>
      <c r="I188" s="10" t="s">
        <v>42</v>
      </c>
      <c r="J188" s="10" t="s">
        <v>60</v>
      </c>
      <c r="K188" s="10" t="s">
        <v>91</v>
      </c>
      <c r="L188" s="13">
        <v>2.0</v>
      </c>
      <c r="M188" s="13">
        <v>2.0</v>
      </c>
      <c r="N188" s="13" t="s">
        <v>23</v>
      </c>
      <c r="O188" s="13">
        <v>3.0</v>
      </c>
      <c r="P188" s="10" t="s">
        <v>23</v>
      </c>
      <c r="Q188" s="10" t="s">
        <v>23</v>
      </c>
      <c r="R188" s="10"/>
      <c r="S188" s="10">
        <v>1.0</v>
      </c>
      <c r="T188" s="10"/>
      <c r="U188" s="10" t="s">
        <v>92</v>
      </c>
    </row>
    <row r="189">
      <c r="A189" s="18" t="s">
        <v>93</v>
      </c>
      <c r="B189" s="13">
        <v>40.0</v>
      </c>
      <c r="C189" s="13">
        <v>29.0</v>
      </c>
      <c r="D189" s="13">
        <v>15.0</v>
      </c>
      <c r="E189" s="16">
        <v>1.93</v>
      </c>
      <c r="F189" s="17">
        <v>0.0506</v>
      </c>
      <c r="G189" s="25">
        <v>13113.0</v>
      </c>
      <c r="H189" s="13">
        <v>4.0</v>
      </c>
      <c r="I189" s="13" t="s">
        <v>9</v>
      </c>
      <c r="J189" s="13" t="s">
        <v>45</v>
      </c>
      <c r="K189" s="13" t="s">
        <v>69</v>
      </c>
      <c r="L189" s="13">
        <v>3.0</v>
      </c>
      <c r="M189" s="13">
        <v>3.0</v>
      </c>
      <c r="N189" s="13" t="s">
        <v>23</v>
      </c>
      <c r="O189" s="13">
        <v>5.0</v>
      </c>
      <c r="P189" s="13" t="s">
        <v>23</v>
      </c>
      <c r="Q189" s="13" t="s">
        <v>23</v>
      </c>
      <c r="R189" s="13">
        <v>2.0</v>
      </c>
      <c r="S189" s="13">
        <v>1.0</v>
      </c>
      <c r="T189" s="13">
        <v>3.0</v>
      </c>
      <c r="U189" s="13" t="s">
        <v>23</v>
      </c>
    </row>
    <row r="190">
      <c r="A190" s="18" t="s">
        <v>94</v>
      </c>
      <c r="B190" s="13">
        <v>40.0</v>
      </c>
      <c r="C190" s="13">
        <v>29.0</v>
      </c>
      <c r="D190" s="13">
        <v>15.0</v>
      </c>
      <c r="E190" s="16">
        <v>1.93</v>
      </c>
      <c r="F190" s="17">
        <v>0.0506</v>
      </c>
      <c r="G190" s="13" t="s">
        <v>95</v>
      </c>
      <c r="H190" s="13">
        <v>4.0</v>
      </c>
      <c r="I190" s="13" t="s">
        <v>42</v>
      </c>
      <c r="J190" s="13" t="s">
        <v>58</v>
      </c>
      <c r="K190" s="13" t="s">
        <v>96</v>
      </c>
      <c r="L190" s="13">
        <v>1.0</v>
      </c>
      <c r="M190" s="13">
        <v>2.0</v>
      </c>
      <c r="N190" s="13" t="s">
        <v>23</v>
      </c>
      <c r="O190" s="13">
        <v>4.0</v>
      </c>
      <c r="P190" s="13" t="s">
        <v>23</v>
      </c>
      <c r="Q190" s="13" t="s">
        <v>23</v>
      </c>
      <c r="R190" s="13">
        <v>1.0</v>
      </c>
      <c r="S190" s="13">
        <v>1.0</v>
      </c>
      <c r="T190" s="13">
        <v>2.0</v>
      </c>
      <c r="U190" s="13" t="s">
        <v>23</v>
      </c>
    </row>
    <row r="191">
      <c r="A191" s="9" t="str">
        <f>HYPERLINK("https://docs.google.com/spreadsheets/d/1EsGJrNyA7pLwFUlZ6WfOkbnPz58Cle9N9c6epQSDRVA/edit?usp=sharing","Abi-Maria Gomes")</f>
        <v>Abi-Maria Gomes</v>
      </c>
      <c r="B191" s="10">
        <v>31.0</v>
      </c>
      <c r="C191" s="10">
        <v>28.0</v>
      </c>
      <c r="D191" s="10">
        <v>13.0</v>
      </c>
      <c r="E191" s="11">
        <v>2.15</v>
      </c>
      <c r="F191" s="12">
        <v>0.0639</v>
      </c>
      <c r="G191" s="10">
        <v>35.0</v>
      </c>
      <c r="H191" s="10">
        <v>3.0</v>
      </c>
      <c r="I191" s="10" t="s">
        <v>9</v>
      </c>
      <c r="J191" s="10" t="s">
        <v>24</v>
      </c>
      <c r="K191" s="10" t="s">
        <v>44</v>
      </c>
      <c r="L191" s="13">
        <v>7.0</v>
      </c>
      <c r="M191" s="13">
        <v>1.0</v>
      </c>
      <c r="N191" s="13" t="s">
        <v>23</v>
      </c>
      <c r="O191" s="13">
        <v>12.0</v>
      </c>
      <c r="P191" s="10" t="s">
        <v>23</v>
      </c>
      <c r="Q191" s="10" t="s">
        <v>23</v>
      </c>
      <c r="R191" s="10"/>
      <c r="S191" s="10" t="s">
        <v>23</v>
      </c>
      <c r="T191" s="10"/>
      <c r="U191" s="10" t="s">
        <v>23</v>
      </c>
    </row>
    <row r="192">
      <c r="A192" s="9" t="str">
        <f>HYPERLINK("https://docs.google.com/spreadsheets/d/1y7awzkkkaNlh7XKjc44AGriTvqB9H3pVz8cFLyIYdbo/edit?usp=sharing","Tasha Fox")</f>
        <v>Tasha Fox</v>
      </c>
      <c r="B192" s="10">
        <v>28.0</v>
      </c>
      <c r="C192" s="10">
        <v>28.0</v>
      </c>
      <c r="D192" s="10">
        <v>12.0</v>
      </c>
      <c r="E192" s="11">
        <v>2.33</v>
      </c>
      <c r="F192" s="12">
        <v>0.061</v>
      </c>
      <c r="G192" s="10">
        <v>33.0</v>
      </c>
      <c r="H192" s="10" t="s">
        <v>23</v>
      </c>
      <c r="I192" s="10" t="s">
        <v>9</v>
      </c>
      <c r="J192" s="10" t="s">
        <v>37</v>
      </c>
      <c r="K192" s="10" t="s">
        <v>56</v>
      </c>
      <c r="L192" s="13">
        <v>3.0</v>
      </c>
      <c r="M192" s="13">
        <v>2.0</v>
      </c>
      <c r="N192" s="13">
        <v>3.0</v>
      </c>
      <c r="O192" s="13">
        <v>10.0</v>
      </c>
      <c r="P192" s="10" t="s">
        <v>23</v>
      </c>
      <c r="Q192" s="10" t="s">
        <v>23</v>
      </c>
      <c r="R192" s="10"/>
      <c r="S192" s="10" t="s">
        <v>23</v>
      </c>
      <c r="T192" s="10"/>
      <c r="U192" s="10" t="s">
        <v>23</v>
      </c>
    </row>
    <row r="193">
      <c r="A193" s="9" t="str">
        <f>HYPERLINK("https://docs.google.com/spreadsheets/d/1nRsx7fR5xbH1eAbI_vBDvqXOgh7mXIwmZNhzrVL6oGM/edit?usp=sharing","Robert DeCanio")</f>
        <v>Robert DeCanio</v>
      </c>
      <c r="B193" s="10">
        <v>4.0</v>
      </c>
      <c r="C193" s="10">
        <v>28.0</v>
      </c>
      <c r="D193" s="10">
        <v>11.0</v>
      </c>
      <c r="E193" s="11">
        <v>2.55</v>
      </c>
      <c r="F193" s="12">
        <v>0.0586</v>
      </c>
      <c r="G193" s="10">
        <v>33.0</v>
      </c>
      <c r="H193" s="10">
        <v>1.0</v>
      </c>
      <c r="I193" s="10" t="s">
        <v>9</v>
      </c>
      <c r="J193" s="10" t="s">
        <v>58</v>
      </c>
      <c r="K193" s="10" t="s">
        <v>59</v>
      </c>
      <c r="L193" s="13">
        <v>2.0</v>
      </c>
      <c r="M193" s="13">
        <v>5.0</v>
      </c>
      <c r="N193" s="13">
        <v>1.0</v>
      </c>
      <c r="O193" s="13">
        <v>6.0</v>
      </c>
      <c r="P193" s="10" t="s">
        <v>23</v>
      </c>
      <c r="Q193" s="10" t="s">
        <v>23</v>
      </c>
      <c r="R193" s="10"/>
      <c r="S193" s="10" t="s">
        <v>23</v>
      </c>
      <c r="T193" s="10"/>
      <c r="U193" s="10" t="s">
        <v>23</v>
      </c>
    </row>
    <row r="194">
      <c r="A194" s="9" t="str">
        <f>HYPERLINK("https://docs.google.com/spreadsheets/d/1w0I5RoQ7uENhUG1ncC5V9B3b6BQapplx180-f9F9s4w/edit?usp=sharing","Christy Smith")</f>
        <v>Christy Smith</v>
      </c>
      <c r="B194" s="10">
        <v>6.0</v>
      </c>
      <c r="C194" s="10">
        <v>28.0</v>
      </c>
      <c r="D194" s="10">
        <v>11.0</v>
      </c>
      <c r="E194" s="11">
        <v>2.55</v>
      </c>
      <c r="F194" s="12">
        <v>0.0576</v>
      </c>
      <c r="G194" s="10">
        <v>33.0</v>
      </c>
      <c r="H194" s="10">
        <v>1.0</v>
      </c>
      <c r="I194" s="10" t="s">
        <v>9</v>
      </c>
      <c r="J194" s="10" t="s">
        <v>58</v>
      </c>
      <c r="K194" s="10" t="s">
        <v>59</v>
      </c>
      <c r="L194" s="13">
        <v>6.0</v>
      </c>
      <c r="M194" s="13">
        <v>3.0</v>
      </c>
      <c r="N194" s="13" t="s">
        <v>23</v>
      </c>
      <c r="O194" s="13">
        <v>8.0</v>
      </c>
      <c r="P194" s="10" t="s">
        <v>23</v>
      </c>
      <c r="Q194" s="10" t="s">
        <v>23</v>
      </c>
      <c r="R194" s="10"/>
      <c r="S194" s="10" t="s">
        <v>23</v>
      </c>
      <c r="T194" s="10"/>
      <c r="U194" s="10" t="s">
        <v>23</v>
      </c>
    </row>
    <row r="195">
      <c r="A195" s="15" t="str">
        <f>HYPERLINK("https://docs.google.com/spreadsheets/d/1q-5bbq9txg93Y0eUACxRPTIN5PuRjeDVpNDfeXEw4iE/edit?usp=sharing","Joe Mena")</f>
        <v>Joe Mena</v>
      </c>
      <c r="B195" s="13">
        <v>35.0</v>
      </c>
      <c r="C195" s="13">
        <v>28.0</v>
      </c>
      <c r="D195" s="13">
        <v>11.0</v>
      </c>
      <c r="E195" s="16">
        <v>2.55</v>
      </c>
      <c r="F195" s="17">
        <v>0.065</v>
      </c>
      <c r="G195" s="13">
        <v>30.0</v>
      </c>
      <c r="H195" s="13" t="s">
        <v>23</v>
      </c>
      <c r="I195" s="13" t="s">
        <v>9</v>
      </c>
      <c r="J195" s="13" t="s">
        <v>58</v>
      </c>
      <c r="K195" s="13" t="s">
        <v>47</v>
      </c>
      <c r="L195" s="13">
        <v>8.0</v>
      </c>
      <c r="M195" s="13">
        <v>5.0</v>
      </c>
      <c r="N195" s="13" t="s">
        <v>23</v>
      </c>
      <c r="O195" s="13">
        <v>6.0</v>
      </c>
      <c r="P195" s="13" t="s">
        <v>23</v>
      </c>
      <c r="Q195" s="13" t="s">
        <v>23</v>
      </c>
      <c r="R195" s="13"/>
      <c r="S195" s="13">
        <v>2.0</v>
      </c>
      <c r="T195" s="13" t="s">
        <v>23</v>
      </c>
      <c r="U195" s="13" t="s">
        <v>23</v>
      </c>
    </row>
    <row r="196">
      <c r="A196" s="9" t="str">
        <f>HYPERLINK("https://docs.google.com/spreadsheets/d/1EZNO7rY3X3GsqJDX9iY8RpZJJDJ-K4nm_Mxm1g397N0/edit?usp=sharing","Brandon Quinton")</f>
        <v>Brandon Quinton</v>
      </c>
      <c r="B196" s="10">
        <v>3.0</v>
      </c>
      <c r="C196" s="10">
        <v>28.0</v>
      </c>
      <c r="D196" s="10">
        <v>9.0</v>
      </c>
      <c r="E196" s="11">
        <v>3.11</v>
      </c>
      <c r="F196" s="12">
        <v>0.056</v>
      </c>
      <c r="G196" s="10">
        <v>27.0</v>
      </c>
      <c r="H196" s="10" t="s">
        <v>23</v>
      </c>
      <c r="I196" s="10" t="s">
        <v>9</v>
      </c>
      <c r="J196" s="10" t="s">
        <v>48</v>
      </c>
      <c r="K196" s="10" t="s">
        <v>49</v>
      </c>
      <c r="L196" s="13">
        <v>6.0</v>
      </c>
      <c r="M196" s="13">
        <v>3.0</v>
      </c>
      <c r="N196" s="13" t="s">
        <v>23</v>
      </c>
      <c r="O196" s="13">
        <v>6.0</v>
      </c>
      <c r="P196" s="10" t="s">
        <v>23</v>
      </c>
      <c r="Q196" s="10" t="s">
        <v>23</v>
      </c>
      <c r="R196" s="10"/>
      <c r="S196" s="10" t="s">
        <v>23</v>
      </c>
      <c r="T196" s="10"/>
      <c r="U196" s="10" t="s">
        <v>23</v>
      </c>
    </row>
    <row r="197">
      <c r="A197" s="9" t="str">
        <f>HYPERLINK("https://docs.google.com/spreadsheets/d/1ReMaq-fM8zzflOjjrMrgnxEsdZxPIPIJqiZ9cCLO3cE/edit?usp=sharing","Jeff Kent")</f>
        <v>Jeff Kent</v>
      </c>
      <c r="B197" s="10">
        <v>25.0</v>
      </c>
      <c r="C197" s="10">
        <v>28.0</v>
      </c>
      <c r="D197" s="10">
        <v>8.0</v>
      </c>
      <c r="E197" s="11">
        <v>3.5</v>
      </c>
      <c r="F197" s="12">
        <v>0.0644</v>
      </c>
      <c r="G197" s="10">
        <v>22.0</v>
      </c>
      <c r="H197" s="10" t="s">
        <v>23</v>
      </c>
      <c r="I197" s="10" t="s">
        <v>9</v>
      </c>
      <c r="J197" s="10" t="s">
        <v>48</v>
      </c>
      <c r="K197" s="10" t="s">
        <v>68</v>
      </c>
      <c r="L197" s="13">
        <v>7.0</v>
      </c>
      <c r="M197" s="13">
        <v>4.0</v>
      </c>
      <c r="N197" s="13" t="s">
        <v>23</v>
      </c>
      <c r="O197" s="13">
        <v>4.0</v>
      </c>
      <c r="P197" s="10" t="s">
        <v>23</v>
      </c>
      <c r="Q197" s="10" t="s">
        <v>23</v>
      </c>
      <c r="R197" s="10"/>
      <c r="S197" s="10" t="s">
        <v>23</v>
      </c>
      <c r="T197" s="10"/>
      <c r="U197" s="10" t="s">
        <v>23</v>
      </c>
    </row>
    <row r="198">
      <c r="A198" s="15" t="str">
        <f>HYPERLINK("https://docs.google.com/spreadsheets/d/1sWOJC8eB6rVdXdWiWMgfbfgw2325jIh1ODKxyaCmSGc/edit?usp=sharing","Brandon Bellinger")</f>
        <v>Brandon Bellinger</v>
      </c>
      <c r="B198" s="13">
        <v>11.0</v>
      </c>
      <c r="C198" s="13">
        <v>28.0</v>
      </c>
      <c r="D198" s="13">
        <v>8.0</v>
      </c>
      <c r="E198" s="16">
        <v>3.5</v>
      </c>
      <c r="F198" s="17">
        <v>0.0635</v>
      </c>
      <c r="G198" s="13">
        <v>21.0</v>
      </c>
      <c r="H198" s="13" t="s">
        <v>23</v>
      </c>
      <c r="I198" s="13" t="s">
        <v>9</v>
      </c>
      <c r="J198" s="13" t="s">
        <v>60</v>
      </c>
      <c r="K198" s="13" t="s">
        <v>68</v>
      </c>
      <c r="L198" s="13">
        <v>5.0</v>
      </c>
      <c r="M198" s="13">
        <v>3.0</v>
      </c>
      <c r="N198" s="13" t="s">
        <v>23</v>
      </c>
      <c r="O198" s="13">
        <v>5.0</v>
      </c>
      <c r="P198" s="13" t="s">
        <v>23</v>
      </c>
      <c r="Q198" s="13" t="s">
        <v>23</v>
      </c>
      <c r="R198" s="13"/>
      <c r="S198" s="13" t="s">
        <v>23</v>
      </c>
      <c r="T198" s="13" t="s">
        <v>23</v>
      </c>
      <c r="U198" s="13" t="s">
        <v>23</v>
      </c>
    </row>
    <row r="199">
      <c r="A199" s="18" t="s">
        <v>97</v>
      </c>
      <c r="B199" s="13">
        <v>40.0</v>
      </c>
      <c r="C199" s="13">
        <v>28.0</v>
      </c>
      <c r="D199" s="13">
        <v>15.0</v>
      </c>
      <c r="E199" s="16">
        <v>1.87</v>
      </c>
      <c r="F199" s="17">
        <v>0.0489</v>
      </c>
      <c r="G199" s="13" t="s">
        <v>98</v>
      </c>
      <c r="H199" s="13">
        <v>4.0</v>
      </c>
      <c r="I199" s="13" t="s">
        <v>9</v>
      </c>
      <c r="J199" s="13" t="s">
        <v>99</v>
      </c>
      <c r="K199" s="13" t="s">
        <v>44</v>
      </c>
      <c r="L199" s="13">
        <v>4.0</v>
      </c>
      <c r="M199" s="13">
        <v>4.0</v>
      </c>
      <c r="N199" s="13">
        <v>1.0</v>
      </c>
      <c r="O199" s="13">
        <v>11.0</v>
      </c>
      <c r="P199" s="13" t="s">
        <v>23</v>
      </c>
      <c r="Q199" s="13" t="s">
        <v>23</v>
      </c>
      <c r="R199" s="13">
        <v>1.0</v>
      </c>
      <c r="S199" s="13" t="s">
        <v>23</v>
      </c>
      <c r="T199" s="13">
        <v>4.0</v>
      </c>
      <c r="U199" s="13" t="s">
        <v>23</v>
      </c>
    </row>
    <row r="200">
      <c r="A200" s="9" t="str">
        <f>HYPERLINK("https://docs.google.com/spreadsheets/d/1CcEdjXKuhm6HmXecNbnscxpFab1HRQEjKSDga6QxqAU/edit?usp=sharing","Mike Chiesl")</f>
        <v>Mike Chiesl</v>
      </c>
      <c r="B200" s="10">
        <v>22.0</v>
      </c>
      <c r="C200" s="10">
        <v>27.0</v>
      </c>
      <c r="D200" s="10">
        <v>14.0</v>
      </c>
      <c r="E200" s="11">
        <v>1.93</v>
      </c>
      <c r="F200" s="12">
        <v>0.0637</v>
      </c>
      <c r="G200" s="10">
        <v>36.0</v>
      </c>
      <c r="H200" s="10">
        <v>2.0</v>
      </c>
      <c r="I200" s="10" t="s">
        <v>9</v>
      </c>
      <c r="J200" s="10" t="s">
        <v>24</v>
      </c>
      <c r="K200" s="10" t="s">
        <v>56</v>
      </c>
      <c r="L200" s="13">
        <v>4.0</v>
      </c>
      <c r="M200" s="13">
        <v>3.0</v>
      </c>
      <c r="N200" s="13" t="s">
        <v>23</v>
      </c>
      <c r="O200" s="13">
        <v>6.0</v>
      </c>
      <c r="P200" s="13" t="s">
        <v>23</v>
      </c>
      <c r="Q200" s="13">
        <v>1.0</v>
      </c>
      <c r="R200" s="13"/>
      <c r="S200" s="10" t="s">
        <v>23</v>
      </c>
      <c r="T200" s="10"/>
      <c r="U200" s="10" t="s">
        <v>23</v>
      </c>
    </row>
    <row r="201">
      <c r="A201" s="15" t="str">
        <f>HYPERLINK("https://docs.google.com/spreadsheets/d/1ZajpFwOHrMmupCcACeLhLTzPOwhTrjKRR1FJtUgeLww/edit?usp=sharing","Ken McNickle")</f>
        <v>Ken McNickle</v>
      </c>
      <c r="B201" s="13">
        <v>33.0</v>
      </c>
      <c r="C201" s="13">
        <v>27.0</v>
      </c>
      <c r="D201" s="13">
        <v>14.0</v>
      </c>
      <c r="E201" s="16">
        <v>1.93</v>
      </c>
      <c r="F201" s="17">
        <v>0.0621</v>
      </c>
      <c r="G201" s="13">
        <v>39.0</v>
      </c>
      <c r="H201" s="13">
        <v>4.0</v>
      </c>
      <c r="I201" s="13" t="s">
        <v>9</v>
      </c>
      <c r="J201" s="13" t="s">
        <v>50</v>
      </c>
      <c r="K201" s="13" t="s">
        <v>53</v>
      </c>
      <c r="L201" s="13">
        <v>4.0</v>
      </c>
      <c r="M201" s="13">
        <v>3.0</v>
      </c>
      <c r="N201" s="13">
        <v>5.0</v>
      </c>
      <c r="O201" s="13">
        <v>15.0</v>
      </c>
      <c r="P201" s="13" t="s">
        <v>23</v>
      </c>
      <c r="Q201" s="13" t="s">
        <v>23</v>
      </c>
      <c r="R201" s="13"/>
      <c r="S201" s="13" t="s">
        <v>23</v>
      </c>
      <c r="T201" s="13">
        <v>1.0</v>
      </c>
      <c r="U201" s="13" t="s">
        <v>23</v>
      </c>
    </row>
    <row r="202">
      <c r="A202" s="15" t="str">
        <f>HYPERLINK("https://docs.google.com/spreadsheets/d/1Hf_PbZTXAuooCoiF7c3Bz80t5-zCjdWHF8wQ_HyodNs/edit?usp=sharing","Laurel Johnson")</f>
        <v>Laurel Johnson</v>
      </c>
      <c r="B202" s="13">
        <v>36.0</v>
      </c>
      <c r="C202" s="13">
        <v>27.0</v>
      </c>
      <c r="D202" s="13">
        <v>14.0</v>
      </c>
      <c r="E202" s="16">
        <v>1.93</v>
      </c>
      <c r="F202" s="17">
        <v>0.0687</v>
      </c>
      <c r="G202" s="13">
        <v>39.0</v>
      </c>
      <c r="H202" s="13">
        <v>4.0</v>
      </c>
      <c r="I202" s="13" t="s">
        <v>9</v>
      </c>
      <c r="J202" s="13" t="s">
        <v>33</v>
      </c>
      <c r="K202" s="13" t="s">
        <v>62</v>
      </c>
      <c r="L202" s="13">
        <v>7.0</v>
      </c>
      <c r="M202" s="13">
        <v>4.0</v>
      </c>
      <c r="N202" s="13">
        <v>1.0</v>
      </c>
      <c r="O202" s="13">
        <v>13.0</v>
      </c>
      <c r="P202" s="13" t="s">
        <v>23</v>
      </c>
      <c r="Q202" s="13" t="s">
        <v>23</v>
      </c>
      <c r="R202" s="13"/>
      <c r="S202" s="13" t="s">
        <v>23</v>
      </c>
      <c r="T202" s="13" t="s">
        <v>23</v>
      </c>
      <c r="U202" s="13" t="s">
        <v>23</v>
      </c>
    </row>
    <row r="203">
      <c r="A203" s="15" t="str">
        <f>HYPERLINK("https://docs.google.com/spreadsheets/d/1q-5bbq9txg93Y0eUACxRPTIN5PuRjeDVpNDfeXEw4iE/edit?usp=sharing","Ashley Nolan")</f>
        <v>Ashley Nolan</v>
      </c>
      <c r="B203" s="13">
        <v>35.0</v>
      </c>
      <c r="C203" s="13">
        <v>27.0</v>
      </c>
      <c r="D203" s="13">
        <v>13.0</v>
      </c>
      <c r="E203" s="16">
        <v>2.08</v>
      </c>
      <c r="F203" s="17">
        <v>0.0626</v>
      </c>
      <c r="G203" s="13">
        <v>36.0</v>
      </c>
      <c r="H203" s="13">
        <v>1.0</v>
      </c>
      <c r="I203" s="13" t="s">
        <v>9</v>
      </c>
      <c r="J203" s="13" t="s">
        <v>37</v>
      </c>
      <c r="K203" s="13" t="s">
        <v>56</v>
      </c>
      <c r="L203" s="13">
        <v>8.0</v>
      </c>
      <c r="M203" s="13">
        <v>4.0</v>
      </c>
      <c r="N203" s="13">
        <v>2.0</v>
      </c>
      <c r="O203" s="13">
        <v>9.0</v>
      </c>
      <c r="P203" s="13" t="s">
        <v>23</v>
      </c>
      <c r="Q203" s="13" t="s">
        <v>23</v>
      </c>
      <c r="R203" s="13"/>
      <c r="S203" s="13" t="s">
        <v>23</v>
      </c>
      <c r="T203" s="13" t="s">
        <v>23</v>
      </c>
      <c r="U203" s="13" t="s">
        <v>23</v>
      </c>
    </row>
    <row r="204">
      <c r="A204" s="9" t="str">
        <f>HYPERLINK("https://docs.google.com/spreadsheets/d/1HA0vQC0CSnQtVc8u58vwNd3sIFCc79SKVqM1abMG1hI/edit?usp=sharing","Tyler Fredrickson")</f>
        <v>Tyler Fredrickson</v>
      </c>
      <c r="B204" s="10">
        <v>30.0</v>
      </c>
      <c r="C204" s="10">
        <v>27.0</v>
      </c>
      <c r="D204" s="10">
        <v>12.0</v>
      </c>
      <c r="E204" s="11">
        <v>2.25</v>
      </c>
      <c r="F204" s="12">
        <v>0.0591</v>
      </c>
      <c r="G204" s="10">
        <v>32.0</v>
      </c>
      <c r="H204" s="10">
        <v>3.0</v>
      </c>
      <c r="I204" s="10" t="s">
        <v>9</v>
      </c>
      <c r="J204" s="10" t="s">
        <v>46</v>
      </c>
      <c r="K204" s="10" t="s">
        <v>66</v>
      </c>
      <c r="L204" s="13">
        <v>9.0</v>
      </c>
      <c r="M204" s="13">
        <v>4.0</v>
      </c>
      <c r="N204" s="13">
        <v>1.0</v>
      </c>
      <c r="O204" s="13">
        <v>8.0</v>
      </c>
      <c r="P204" s="10" t="s">
        <v>23</v>
      </c>
      <c r="Q204" s="10" t="s">
        <v>23</v>
      </c>
      <c r="R204" s="10"/>
      <c r="S204" s="10" t="s">
        <v>23</v>
      </c>
      <c r="T204" s="10"/>
      <c r="U204" s="10" t="s">
        <v>23</v>
      </c>
    </row>
    <row r="205">
      <c r="A205" s="9" t="str">
        <f>HYPERLINK("https://docs.google.com/spreadsheets/d/1hg_GT4r2smQsgkwEYBqHOukVavnNSyncsyfceWDpOho/edit?usp=sharing","Alicia Calaway")</f>
        <v>Alicia Calaway</v>
      </c>
      <c r="B205" s="10">
        <v>8.0</v>
      </c>
      <c r="C205" s="10">
        <v>27.0</v>
      </c>
      <c r="D205" s="10">
        <v>12.0</v>
      </c>
      <c r="E205" s="11">
        <v>2.25</v>
      </c>
      <c r="F205" s="12">
        <v>0.0533</v>
      </c>
      <c r="G205" s="10">
        <v>30.0</v>
      </c>
      <c r="H205" s="10">
        <v>3.0</v>
      </c>
      <c r="I205" s="10" t="s">
        <v>9</v>
      </c>
      <c r="J205" s="10" t="s">
        <v>43</v>
      </c>
      <c r="K205" s="10" t="s">
        <v>66</v>
      </c>
      <c r="L205" s="13">
        <v>10.0</v>
      </c>
      <c r="M205" s="13">
        <v>5.0</v>
      </c>
      <c r="N205" s="13" t="s">
        <v>23</v>
      </c>
      <c r="O205" s="13">
        <v>4.0</v>
      </c>
      <c r="P205" s="10" t="s">
        <v>23</v>
      </c>
      <c r="Q205" s="10" t="s">
        <v>23</v>
      </c>
      <c r="R205" s="10"/>
      <c r="S205" s="10" t="s">
        <v>23</v>
      </c>
      <c r="T205" s="10"/>
      <c r="U205" s="10" t="s">
        <v>23</v>
      </c>
    </row>
    <row r="206">
      <c r="A206" s="9" t="str">
        <f>HYPERLINK("https://docs.google.com/spreadsheets/d/1nYlVL4RxK2ZUH-a4MfKCalHyEjDRWz2ZumhyoaYsjTE/edit?usp=sharing","Brenda Lowe")</f>
        <v>Brenda Lowe</v>
      </c>
      <c r="B206" s="10">
        <v>21.0</v>
      </c>
      <c r="C206" s="10">
        <v>27.0</v>
      </c>
      <c r="D206" s="10">
        <v>10.0</v>
      </c>
      <c r="E206" s="11">
        <v>2.7</v>
      </c>
      <c r="F206" s="12">
        <v>0.0649</v>
      </c>
      <c r="G206" s="10">
        <v>27.0</v>
      </c>
      <c r="H206" s="10" t="s">
        <v>23</v>
      </c>
      <c r="I206" s="10" t="s">
        <v>9</v>
      </c>
      <c r="J206" s="10" t="s">
        <v>43</v>
      </c>
      <c r="K206" s="10" t="s">
        <v>86</v>
      </c>
      <c r="L206" s="13">
        <v>5.0</v>
      </c>
      <c r="M206" s="13">
        <v>4.0</v>
      </c>
      <c r="N206" s="13">
        <v>1.0</v>
      </c>
      <c r="O206" s="13">
        <v>6.0</v>
      </c>
      <c r="P206" s="10" t="s">
        <v>23</v>
      </c>
      <c r="Q206" s="10" t="s">
        <v>23</v>
      </c>
      <c r="R206" s="10"/>
      <c r="S206" s="10" t="s">
        <v>23</v>
      </c>
      <c r="T206" s="10"/>
      <c r="U206" s="10" t="s">
        <v>23</v>
      </c>
    </row>
    <row r="207">
      <c r="A207" s="15" t="str">
        <f>HYPERLINK("https://docs.google.com/spreadsheets/d/1sWOJC8eB6rVdXdWiWMgfbfgw2325jIh1ODKxyaCmSGc/edit?usp=sharing","Bobby Jon Drinkard")</f>
        <v>Bobby Jon Drinkard</v>
      </c>
      <c r="B207" s="13">
        <v>11.0</v>
      </c>
      <c r="C207" s="13">
        <v>27.0</v>
      </c>
      <c r="D207" s="13">
        <v>9.0</v>
      </c>
      <c r="E207" s="16">
        <v>3.0</v>
      </c>
      <c r="F207" s="17">
        <v>0.0612</v>
      </c>
      <c r="G207" s="13">
        <v>24.0</v>
      </c>
      <c r="H207" s="13">
        <v>1.0</v>
      </c>
      <c r="I207" s="13" t="s">
        <v>9</v>
      </c>
      <c r="J207" s="13" t="s">
        <v>84</v>
      </c>
      <c r="K207" s="13" t="s">
        <v>83</v>
      </c>
      <c r="L207" s="13">
        <v>7.0</v>
      </c>
      <c r="M207" s="13">
        <v>3.0</v>
      </c>
      <c r="N207" s="13" t="s">
        <v>23</v>
      </c>
      <c r="O207" s="13">
        <v>6.0</v>
      </c>
      <c r="P207" s="13" t="s">
        <v>23</v>
      </c>
      <c r="Q207" s="13" t="s">
        <v>23</v>
      </c>
      <c r="R207" s="13"/>
      <c r="S207" s="13" t="s">
        <v>23</v>
      </c>
      <c r="T207" s="13" t="s">
        <v>23</v>
      </c>
      <c r="U207" s="13" t="s">
        <v>23</v>
      </c>
    </row>
    <row r="208">
      <c r="A208" s="15" t="str">
        <f>HYPERLINK("https://docs.google.com/spreadsheets/d/1t379i2CYDM1ZVdZZy_Nj2m3ht6Sp4J68-xZ2v4-PIMo/edit?usp=sharing","Nick Maiorano")</f>
        <v>Nick Maiorano</v>
      </c>
      <c r="B208" s="13">
        <v>32.0</v>
      </c>
      <c r="C208" s="13">
        <v>27.0</v>
      </c>
      <c r="D208" s="13">
        <v>8.0</v>
      </c>
      <c r="E208" s="16">
        <v>3.38</v>
      </c>
      <c r="F208" s="17">
        <v>0.0547</v>
      </c>
      <c r="G208" s="13">
        <v>22.0</v>
      </c>
      <c r="H208" s="13">
        <v>2.0</v>
      </c>
      <c r="I208" s="13" t="s">
        <v>9</v>
      </c>
      <c r="J208" s="13" t="s">
        <v>48</v>
      </c>
      <c r="K208" s="13" t="s">
        <v>68</v>
      </c>
      <c r="L208" s="13">
        <v>6.0</v>
      </c>
      <c r="M208" s="13">
        <v>6.0</v>
      </c>
      <c r="N208" s="13">
        <v>1.0</v>
      </c>
      <c r="O208" s="13">
        <v>1.0</v>
      </c>
      <c r="P208" s="13" t="s">
        <v>23</v>
      </c>
      <c r="Q208" s="13" t="s">
        <v>23</v>
      </c>
      <c r="R208" s="13"/>
      <c r="S208" s="13" t="s">
        <v>23</v>
      </c>
      <c r="T208" s="13"/>
      <c r="U208" s="13" t="s">
        <v>23</v>
      </c>
    </row>
    <row r="209">
      <c r="A209" s="19" t="str">
        <f>HYPERLINK("https://docs.google.com/spreadsheets/d/1TniiK35-AGMNddj9lkge_tT9QfOGXMfX2thnTv8npTo/edit?usp=sharing","Robb Zbacnik")</f>
        <v>Robb Zbacnik</v>
      </c>
      <c r="B209" s="20">
        <v>5.0</v>
      </c>
      <c r="C209" s="21">
        <v>27.0</v>
      </c>
      <c r="D209" s="20">
        <v>6.0</v>
      </c>
      <c r="E209" s="22">
        <v>4.5</v>
      </c>
      <c r="F209" s="14">
        <v>0.056</v>
      </c>
      <c r="G209" s="21">
        <v>18.0</v>
      </c>
      <c r="H209" s="21" t="s">
        <v>23</v>
      </c>
      <c r="I209" s="10" t="s">
        <v>42</v>
      </c>
      <c r="J209" s="20" t="s">
        <v>60</v>
      </c>
      <c r="K209" s="20" t="s">
        <v>78</v>
      </c>
      <c r="L209" s="13">
        <v>4.0</v>
      </c>
      <c r="M209" s="13">
        <v>3.0</v>
      </c>
      <c r="N209" s="13" t="s">
        <v>23</v>
      </c>
      <c r="O209" s="13">
        <v>3.0</v>
      </c>
      <c r="P209" s="10" t="s">
        <v>23</v>
      </c>
      <c r="Q209" s="10" t="s">
        <v>23</v>
      </c>
      <c r="R209" s="10"/>
      <c r="S209" s="10" t="s">
        <v>23</v>
      </c>
      <c r="T209" s="10"/>
      <c r="U209" s="10" t="s">
        <v>23</v>
      </c>
    </row>
    <row r="210">
      <c r="A210" s="9" t="str">
        <f>HYPERLINK("https://docs.google.com/spreadsheets/d/1HA0vQC0CSnQtVc8u58vwNd3sIFCc79SKVqM1abMG1hI/edit?usp=sharing","Joe Anglim")</f>
        <v>Joe Anglim</v>
      </c>
      <c r="B210" s="10">
        <v>30.0</v>
      </c>
      <c r="C210" s="10">
        <v>26.0</v>
      </c>
      <c r="D210" s="10">
        <v>9.0</v>
      </c>
      <c r="E210" s="11">
        <v>2.89</v>
      </c>
      <c r="F210" s="12">
        <v>0.0569</v>
      </c>
      <c r="G210" s="10">
        <v>24.0</v>
      </c>
      <c r="H210" s="10">
        <v>2.0</v>
      </c>
      <c r="I210" s="10" t="s">
        <v>9</v>
      </c>
      <c r="J210" s="10" t="s">
        <v>48</v>
      </c>
      <c r="K210" s="10" t="s">
        <v>68</v>
      </c>
      <c r="L210" s="13">
        <v>5.0</v>
      </c>
      <c r="M210" s="13">
        <v>3.0</v>
      </c>
      <c r="N210" s="13">
        <v>2.0</v>
      </c>
      <c r="O210" s="13">
        <v>6.0</v>
      </c>
      <c r="P210" s="10" t="s">
        <v>23</v>
      </c>
      <c r="Q210" s="10" t="s">
        <v>23</v>
      </c>
      <c r="R210" s="10"/>
      <c r="S210" s="10" t="s">
        <v>23</v>
      </c>
      <c r="T210" s="10"/>
      <c r="U210" s="10" t="s">
        <v>23</v>
      </c>
    </row>
    <row r="211">
      <c r="A211" s="15" t="str">
        <f>HYPERLINK("https://docs.google.com/spreadsheets/d/1t379i2CYDM1ZVdZZy_Nj2m3ht6Sp4J68-xZ2v4-PIMo/edit?usp=sharing","Debbie Wanner")</f>
        <v>Debbie Wanner</v>
      </c>
      <c r="B211" s="13">
        <v>32.0</v>
      </c>
      <c r="C211" s="13">
        <v>26.0</v>
      </c>
      <c r="D211" s="13">
        <v>9.0</v>
      </c>
      <c r="E211" s="16">
        <v>2.89</v>
      </c>
      <c r="F211" s="17">
        <v>0.0526</v>
      </c>
      <c r="G211" s="13">
        <v>24.0</v>
      </c>
      <c r="H211" s="13" t="s">
        <v>23</v>
      </c>
      <c r="I211" s="13" t="s">
        <v>9</v>
      </c>
      <c r="J211" s="13" t="s">
        <v>43</v>
      </c>
      <c r="K211" s="13" t="s">
        <v>83</v>
      </c>
      <c r="L211" s="13">
        <v>5.0</v>
      </c>
      <c r="M211" s="13">
        <v>5.0</v>
      </c>
      <c r="N211" s="13" t="s">
        <v>23</v>
      </c>
      <c r="O211" s="13">
        <v>3.0</v>
      </c>
      <c r="P211" s="13" t="s">
        <v>23</v>
      </c>
      <c r="Q211" s="13" t="s">
        <v>23</v>
      </c>
      <c r="R211" s="13"/>
      <c r="S211" s="13" t="s">
        <v>23</v>
      </c>
      <c r="T211" s="13"/>
      <c r="U211" s="13" t="s">
        <v>23</v>
      </c>
    </row>
    <row r="212">
      <c r="A212" s="15" t="str">
        <f>HYPERLINK("https://docs.google.com/spreadsheets/d/1Hf_PbZTXAuooCoiF7c3Bz80t5-zCjdWHF8wQ_HyodNs/edit?usp=sharing","Chris Noble")</f>
        <v>Chris Noble</v>
      </c>
      <c r="B212" s="13">
        <v>36.0</v>
      </c>
      <c r="C212" s="13">
        <v>26.0</v>
      </c>
      <c r="D212" s="13">
        <v>8.0</v>
      </c>
      <c r="E212" s="16">
        <v>3.25</v>
      </c>
      <c r="F212" s="17">
        <v>0.0662</v>
      </c>
      <c r="G212" s="13">
        <v>22.0</v>
      </c>
      <c r="H212" s="13" t="s">
        <v>23</v>
      </c>
      <c r="I212" s="13" t="s">
        <v>9</v>
      </c>
      <c r="J212" s="13" t="s">
        <v>84</v>
      </c>
      <c r="K212" s="13" t="s">
        <v>100</v>
      </c>
      <c r="L212" s="13">
        <v>5.0</v>
      </c>
      <c r="M212" s="13">
        <v>6.0</v>
      </c>
      <c r="N212" s="13" t="s">
        <v>23</v>
      </c>
      <c r="O212" s="13">
        <v>1.0</v>
      </c>
      <c r="P212" s="13">
        <v>2.0</v>
      </c>
      <c r="Q212" s="13" t="s">
        <v>23</v>
      </c>
      <c r="R212" s="13"/>
      <c r="S212" s="13">
        <v>1.0</v>
      </c>
      <c r="T212" s="13" t="s">
        <v>23</v>
      </c>
      <c r="U212" s="13" t="s">
        <v>23</v>
      </c>
    </row>
    <row r="213">
      <c r="A213" s="9" t="str">
        <f>HYPERLINK("https://docs.google.com/spreadsheets/d/1y7awzkkkaNlh7XKjc44AGriTvqB9H3pVz8cFLyIYdbo/edit?usp=sharing","Sarah Lacina")</f>
        <v>Sarah Lacina</v>
      </c>
      <c r="B213" s="10">
        <v>28.0</v>
      </c>
      <c r="C213" s="10">
        <v>26.0</v>
      </c>
      <c r="D213" s="10">
        <v>7.0</v>
      </c>
      <c r="E213" s="11">
        <v>3.71</v>
      </c>
      <c r="F213" s="12">
        <v>0.0566</v>
      </c>
      <c r="G213" s="10">
        <v>19.0</v>
      </c>
      <c r="H213" s="10" t="s">
        <v>23</v>
      </c>
      <c r="I213" s="10" t="s">
        <v>9</v>
      </c>
      <c r="J213" s="10" t="s">
        <v>84</v>
      </c>
      <c r="K213" s="10" t="s">
        <v>85</v>
      </c>
      <c r="L213" s="13">
        <v>5.0</v>
      </c>
      <c r="M213" s="13">
        <v>5.0</v>
      </c>
      <c r="N213" s="13" t="s">
        <v>23</v>
      </c>
      <c r="O213" s="13">
        <v>2.0</v>
      </c>
      <c r="P213" s="10" t="s">
        <v>23</v>
      </c>
      <c r="Q213" s="10" t="s">
        <v>23</v>
      </c>
      <c r="R213" s="10"/>
      <c r="S213" s="10" t="s">
        <v>23</v>
      </c>
      <c r="T213" s="10"/>
      <c r="U213" s="10" t="s">
        <v>23</v>
      </c>
    </row>
    <row r="214">
      <c r="A214" s="9" t="str">
        <f>HYPERLINK("https://docs.google.com/spreadsheets/d/1EZNO7rY3X3GsqJDX9iY8RpZJJDJ-K4nm_Mxm1g397N0/edit?usp=sharing","Clarence Black")</f>
        <v>Clarence Black</v>
      </c>
      <c r="B214" s="10">
        <v>3.0</v>
      </c>
      <c r="C214" s="10">
        <v>26.0</v>
      </c>
      <c r="D214" s="10">
        <v>7.0</v>
      </c>
      <c r="E214" s="11">
        <v>3.71</v>
      </c>
      <c r="F214" s="12">
        <v>0.052</v>
      </c>
      <c r="G214" s="10">
        <v>21.0</v>
      </c>
      <c r="H214" s="10" t="s">
        <v>23</v>
      </c>
      <c r="I214" s="10" t="s">
        <v>9</v>
      </c>
      <c r="J214" s="10" t="s">
        <v>60</v>
      </c>
      <c r="K214" s="10" t="s">
        <v>61</v>
      </c>
      <c r="L214" s="13">
        <v>3.0</v>
      </c>
      <c r="M214" s="13">
        <v>3.0</v>
      </c>
      <c r="N214" s="13" t="s">
        <v>23</v>
      </c>
      <c r="O214" s="13">
        <v>4.0</v>
      </c>
      <c r="P214" s="10" t="s">
        <v>23</v>
      </c>
      <c r="Q214" s="10" t="s">
        <v>23</v>
      </c>
      <c r="R214" s="10"/>
      <c r="S214" s="10" t="s">
        <v>23</v>
      </c>
      <c r="T214" s="10"/>
      <c r="U214" s="10" t="s">
        <v>23</v>
      </c>
    </row>
    <row r="215">
      <c r="A215" s="18" t="s">
        <v>101</v>
      </c>
      <c r="B215" s="13">
        <v>40.0</v>
      </c>
      <c r="C215" s="13">
        <v>26.0</v>
      </c>
      <c r="D215" s="13">
        <v>15.0</v>
      </c>
      <c r="E215" s="16">
        <v>1.73</v>
      </c>
      <c r="F215" s="17">
        <v>0.0454</v>
      </c>
      <c r="G215" s="13" t="s">
        <v>102</v>
      </c>
      <c r="H215" s="13">
        <v>3.0</v>
      </c>
      <c r="I215" s="13" t="s">
        <v>42</v>
      </c>
      <c r="J215" s="13" t="s">
        <v>46</v>
      </c>
      <c r="K215" s="13" t="s">
        <v>103</v>
      </c>
      <c r="L215" s="13">
        <v>1.0</v>
      </c>
      <c r="M215" s="13">
        <v>3.0</v>
      </c>
      <c r="N215" s="13" t="s">
        <v>23</v>
      </c>
      <c r="O215" s="13">
        <v>4.0</v>
      </c>
      <c r="P215" s="13" t="s">
        <v>23</v>
      </c>
      <c r="Q215" s="13" t="s">
        <v>23</v>
      </c>
      <c r="R215" s="13">
        <v>1.0</v>
      </c>
      <c r="S215" s="13" t="s">
        <v>23</v>
      </c>
      <c r="T215" s="13">
        <v>4.0</v>
      </c>
      <c r="U215" s="13" t="s">
        <v>23</v>
      </c>
    </row>
    <row r="216">
      <c r="A216" s="9" t="str">
        <f>HYPERLINK("https://docs.google.com/spreadsheets/d/1X-5lK1sJCBpvE08rC1VdSsGvayqyrC62cK7W45Q4XX8/edit?usp=sharing","Tina Wesson")</f>
        <v>Tina Wesson</v>
      </c>
      <c r="B216" s="10">
        <v>27.0</v>
      </c>
      <c r="C216" s="10">
        <v>25.0</v>
      </c>
      <c r="D216" s="10">
        <v>14.0</v>
      </c>
      <c r="E216" s="11">
        <v>1.79</v>
      </c>
      <c r="F216" s="12">
        <v>0.0577</v>
      </c>
      <c r="G216" s="10">
        <v>38.0</v>
      </c>
      <c r="H216" s="10">
        <v>5.0</v>
      </c>
      <c r="I216" s="10" t="s">
        <v>9</v>
      </c>
      <c r="J216" s="10" t="s">
        <v>40</v>
      </c>
      <c r="K216" s="10" t="s">
        <v>55</v>
      </c>
      <c r="L216" s="13">
        <v>5.0</v>
      </c>
      <c r="M216" s="13">
        <v>4.0</v>
      </c>
      <c r="N216" s="13" t="s">
        <v>23</v>
      </c>
      <c r="O216" s="13">
        <v>8.0</v>
      </c>
      <c r="P216" s="13" t="s">
        <v>23</v>
      </c>
      <c r="Q216" s="13">
        <v>1.0</v>
      </c>
      <c r="R216" s="13"/>
      <c r="S216" s="10" t="s">
        <v>23</v>
      </c>
      <c r="T216" s="10"/>
      <c r="U216" s="10" t="s">
        <v>23</v>
      </c>
    </row>
    <row r="217">
      <c r="A217" s="9" t="str">
        <f>HYPERLINK("https://docs.google.com/spreadsheets/d/1OvIOVR4AMBMcafVt9o6KEur-eEFhew1kw_KUv3DV3Xs/edit?usp=sharing","Sophie Clarke")</f>
        <v>Sophie Clarke</v>
      </c>
      <c r="B217" s="10">
        <v>23.0</v>
      </c>
      <c r="C217" s="10">
        <v>25.0</v>
      </c>
      <c r="D217" s="10">
        <v>14.0</v>
      </c>
      <c r="E217" s="11">
        <v>1.79</v>
      </c>
      <c r="F217" s="12">
        <v>0.0623</v>
      </c>
      <c r="G217" s="10">
        <v>39.0</v>
      </c>
      <c r="H217" s="10">
        <v>1.0</v>
      </c>
      <c r="I217" s="10" t="s">
        <v>9</v>
      </c>
      <c r="J217" s="10" t="s">
        <v>28</v>
      </c>
      <c r="K217" s="10" t="s">
        <v>29</v>
      </c>
      <c r="L217" s="13">
        <v>4.0</v>
      </c>
      <c r="M217" s="13">
        <v>4.0</v>
      </c>
      <c r="N217" s="13">
        <v>3.0</v>
      </c>
      <c r="O217" s="13">
        <v>14.0</v>
      </c>
      <c r="P217" s="13" t="s">
        <v>23</v>
      </c>
      <c r="Q217" s="13" t="s">
        <v>23</v>
      </c>
      <c r="R217" s="13"/>
      <c r="S217" s="10" t="s">
        <v>23</v>
      </c>
      <c r="T217" s="10"/>
      <c r="U217" s="10" t="s">
        <v>23</v>
      </c>
    </row>
    <row r="218">
      <c r="A218" s="15" t="str">
        <f>HYPERLINK("https://docs.google.com/spreadsheets/d/1yi_HtvN4TS5uRWCCFJg5RFaoouiIIe8CAtY_XnqP6iM/edit?usp=sharing","Scout Cloud Lee")</f>
        <v>Scout Cloud Lee</v>
      </c>
      <c r="B218" s="13">
        <v>9.0</v>
      </c>
      <c r="C218" s="13">
        <v>25.0</v>
      </c>
      <c r="D218" s="13">
        <v>14.0</v>
      </c>
      <c r="E218" s="16">
        <v>1.79</v>
      </c>
      <c r="F218" s="17">
        <v>0.0597</v>
      </c>
      <c r="G218" s="13">
        <v>38.0</v>
      </c>
      <c r="H218" s="13">
        <v>3.0</v>
      </c>
      <c r="I218" s="13" t="s">
        <v>9</v>
      </c>
      <c r="J218" s="13" t="s">
        <v>24</v>
      </c>
      <c r="K218" s="13" t="s">
        <v>34</v>
      </c>
      <c r="L218" s="13">
        <v>5.0</v>
      </c>
      <c r="M218" s="13">
        <v>3.0</v>
      </c>
      <c r="N218" s="13" t="s">
        <v>23</v>
      </c>
      <c r="O218" s="13">
        <v>12.0</v>
      </c>
      <c r="P218" s="10" t="s">
        <v>23</v>
      </c>
      <c r="Q218" s="10" t="s">
        <v>23</v>
      </c>
      <c r="R218" s="10"/>
      <c r="S218" s="10" t="s">
        <v>23</v>
      </c>
      <c r="T218" s="10"/>
      <c r="U218" s="10" t="s">
        <v>23</v>
      </c>
    </row>
    <row r="219">
      <c r="A219" s="9" t="str">
        <f>HYPERLINK("https://docs.google.com/spreadsheets/d/1X-5lK1sJCBpvE08rC1VdSsGvayqyrC62cK7W45Q4XX8/edit?usp=sharing","Gervase Peterson")</f>
        <v>Gervase Peterson</v>
      </c>
      <c r="B219" s="10">
        <v>27.0</v>
      </c>
      <c r="C219" s="10">
        <v>25.0</v>
      </c>
      <c r="D219" s="10">
        <v>14.0</v>
      </c>
      <c r="E219" s="11">
        <v>1.79</v>
      </c>
      <c r="F219" s="12">
        <v>0.0577</v>
      </c>
      <c r="G219" s="10">
        <v>39.0</v>
      </c>
      <c r="H219" s="10">
        <v>5.0</v>
      </c>
      <c r="I219" s="10" t="s">
        <v>9</v>
      </c>
      <c r="J219" s="10" t="s">
        <v>33</v>
      </c>
      <c r="K219" s="10" t="s">
        <v>62</v>
      </c>
      <c r="L219" s="13">
        <v>9.0</v>
      </c>
      <c r="M219" s="13">
        <v>6.0</v>
      </c>
      <c r="N219" s="13">
        <v>1.0</v>
      </c>
      <c r="O219" s="13">
        <v>11.0</v>
      </c>
      <c r="P219" s="13" t="s">
        <v>23</v>
      </c>
      <c r="Q219" s="13" t="s">
        <v>23</v>
      </c>
      <c r="R219" s="13"/>
      <c r="S219" s="10" t="s">
        <v>23</v>
      </c>
      <c r="T219" s="10"/>
      <c r="U219" s="10" t="s">
        <v>23</v>
      </c>
    </row>
    <row r="220">
      <c r="A220" s="9" t="str">
        <f>HYPERLINK("https://docs.google.com/spreadsheets/d/1LR80O0PvsOvoTuN5gHQd3Rls4b1rZmJd7EZ_DR2oRHs/edit?usp=sharing","Eddie Fox")</f>
        <v>Eddie Fox</v>
      </c>
      <c r="B220" s="10">
        <v>26.0</v>
      </c>
      <c r="C220" s="10">
        <v>25.0</v>
      </c>
      <c r="D220" s="10">
        <v>14.0</v>
      </c>
      <c r="E220" s="11">
        <v>1.79</v>
      </c>
      <c r="F220" s="12">
        <v>0.0605</v>
      </c>
      <c r="G220" s="10">
        <v>38.0</v>
      </c>
      <c r="H220" s="10">
        <v>3.0</v>
      </c>
      <c r="I220" s="10" t="s">
        <v>9</v>
      </c>
      <c r="J220" s="10" t="s">
        <v>40</v>
      </c>
      <c r="K220" s="10" t="s">
        <v>55</v>
      </c>
      <c r="L220" s="13">
        <v>5.0</v>
      </c>
      <c r="M220" s="13">
        <v>4.0</v>
      </c>
      <c r="N220" s="13" t="s">
        <v>23</v>
      </c>
      <c r="O220" s="13">
        <v>11.0</v>
      </c>
      <c r="P220" s="10" t="s">
        <v>23</v>
      </c>
      <c r="Q220" s="10" t="s">
        <v>23</v>
      </c>
      <c r="R220" s="10"/>
      <c r="S220" s="10" t="s">
        <v>23</v>
      </c>
      <c r="T220" s="10"/>
      <c r="U220" s="10" t="s">
        <v>23</v>
      </c>
    </row>
    <row r="221">
      <c r="A221" s="15" t="str">
        <f>HYPERLINK("https://docs.google.com/spreadsheets/d/1ZajpFwOHrMmupCcACeLhLTzPOwhTrjKRR1FJtUgeLww/edit?usp=sharing","Bret LaBelle")</f>
        <v>Bret LaBelle</v>
      </c>
      <c r="B221" s="13">
        <v>33.0</v>
      </c>
      <c r="C221" s="13">
        <v>25.0</v>
      </c>
      <c r="D221" s="13">
        <v>14.0</v>
      </c>
      <c r="E221" s="16">
        <v>1.79</v>
      </c>
      <c r="F221" s="17">
        <v>0.0575</v>
      </c>
      <c r="G221" s="13">
        <v>37.0</v>
      </c>
      <c r="H221" s="13">
        <v>4.0</v>
      </c>
      <c r="I221" s="13" t="s">
        <v>9</v>
      </c>
      <c r="J221" s="13" t="s">
        <v>45</v>
      </c>
      <c r="K221" s="13" t="s">
        <v>67</v>
      </c>
      <c r="L221" s="13">
        <v>8.0</v>
      </c>
      <c r="M221" s="13">
        <v>3.0</v>
      </c>
      <c r="N221" s="13" t="s">
        <v>23</v>
      </c>
      <c r="O221" s="13">
        <v>13.0</v>
      </c>
      <c r="P221" s="13" t="s">
        <v>23</v>
      </c>
      <c r="Q221" s="13" t="s">
        <v>23</v>
      </c>
      <c r="R221" s="13"/>
      <c r="S221" s="13" t="s">
        <v>23</v>
      </c>
      <c r="T221" s="13" t="s">
        <v>23</v>
      </c>
      <c r="U221" s="13" t="s">
        <v>23</v>
      </c>
    </row>
    <row r="222">
      <c r="A222" s="9" t="str">
        <f>HYPERLINK("https://docs.google.com/spreadsheets/d/1OvIOVR4AMBMcafVt9o6KEur-eEFhew1kw_KUv3DV3Xs/edit?usp=sharing","Albert Destrade")</f>
        <v>Albert Destrade</v>
      </c>
      <c r="B222" s="10">
        <v>23.0</v>
      </c>
      <c r="C222" s="10">
        <v>25.0</v>
      </c>
      <c r="D222" s="10">
        <v>14.0</v>
      </c>
      <c r="E222" s="11">
        <v>1.79</v>
      </c>
      <c r="F222" s="12">
        <v>0.0623</v>
      </c>
      <c r="G222" s="10">
        <v>39.0</v>
      </c>
      <c r="H222" s="10">
        <v>6.0</v>
      </c>
      <c r="I222" s="10" t="s">
        <v>9</v>
      </c>
      <c r="J222" s="10" t="s">
        <v>33</v>
      </c>
      <c r="K222" s="10" t="s">
        <v>34</v>
      </c>
      <c r="L222" s="13">
        <v>5.0</v>
      </c>
      <c r="M222" s="13">
        <v>4.0</v>
      </c>
      <c r="N222" s="13">
        <v>1.0</v>
      </c>
      <c r="O222" s="13">
        <v>14.0</v>
      </c>
      <c r="P222" s="13" t="s">
        <v>23</v>
      </c>
      <c r="Q222" s="13" t="s">
        <v>23</v>
      </c>
      <c r="R222" s="13"/>
      <c r="S222" s="10" t="s">
        <v>23</v>
      </c>
      <c r="T222" s="10"/>
      <c r="U222" s="10" t="s">
        <v>23</v>
      </c>
    </row>
    <row r="223">
      <c r="A223" s="15" t="str">
        <f>HYPERLINK("https://docs.google.com/spreadsheets/d/1yi_HtvN4TS5uRWCCFJg5RFaoouiIIe8CAtY_XnqP6iM/edit?usp=sharing","Julie Berry")</f>
        <v>Julie Berry</v>
      </c>
      <c r="B223" s="13">
        <v>9.0</v>
      </c>
      <c r="C223" s="13">
        <v>25.0</v>
      </c>
      <c r="D223" s="13">
        <v>13.0</v>
      </c>
      <c r="E223" s="16">
        <v>1.92</v>
      </c>
      <c r="F223" s="17">
        <v>0.0597</v>
      </c>
      <c r="G223" s="13">
        <v>36.0</v>
      </c>
      <c r="H223" s="13">
        <v>3.0</v>
      </c>
      <c r="I223" s="13" t="s">
        <v>9</v>
      </c>
      <c r="J223" s="13" t="s">
        <v>46</v>
      </c>
      <c r="K223" s="13" t="s">
        <v>104</v>
      </c>
      <c r="L223" s="13">
        <v>8.0</v>
      </c>
      <c r="M223" s="13">
        <v>4.0</v>
      </c>
      <c r="N223" s="13" t="s">
        <v>23</v>
      </c>
      <c r="O223" s="13">
        <v>9.0</v>
      </c>
      <c r="P223" s="10" t="s">
        <v>23</v>
      </c>
      <c r="Q223" s="10" t="s">
        <v>23</v>
      </c>
      <c r="R223" s="10"/>
      <c r="S223" s="10" t="s">
        <v>23</v>
      </c>
      <c r="T223" s="10"/>
      <c r="U223" s="10" t="s">
        <v>23</v>
      </c>
    </row>
    <row r="224">
      <c r="A224" s="9" t="str">
        <f>HYPERLINK("https://docs.google.com/spreadsheets/d/1LR80O0PvsOvoTuN5gHQd3Rls4b1rZmJd7EZ_DR2oRHs/edit?usp=sharing","Andrea Boehlke")</f>
        <v>Andrea Boehlke</v>
      </c>
      <c r="B224" s="10">
        <v>26.0</v>
      </c>
      <c r="C224" s="10">
        <v>25.0</v>
      </c>
      <c r="D224" s="10">
        <v>12.0</v>
      </c>
      <c r="E224" s="11">
        <v>2.08</v>
      </c>
      <c r="F224" s="12">
        <v>0.0605</v>
      </c>
      <c r="G224" s="10">
        <v>33.0</v>
      </c>
      <c r="H224" s="10">
        <v>1.0</v>
      </c>
      <c r="I224" s="10" t="s">
        <v>9</v>
      </c>
      <c r="J224" s="10" t="s">
        <v>46</v>
      </c>
      <c r="K224" s="10" t="s">
        <v>44</v>
      </c>
      <c r="L224" s="13">
        <v>9.0</v>
      </c>
      <c r="M224" s="13">
        <v>5.0</v>
      </c>
      <c r="N224" s="13">
        <v>1.0</v>
      </c>
      <c r="O224" s="13">
        <v>8.0</v>
      </c>
      <c r="P224" s="10" t="s">
        <v>23</v>
      </c>
      <c r="Q224" s="10" t="s">
        <v>23</v>
      </c>
      <c r="R224" s="10"/>
      <c r="S224" s="10">
        <v>1.0</v>
      </c>
      <c r="T224" s="10"/>
      <c r="U224" s="10" t="s">
        <v>23</v>
      </c>
    </row>
    <row r="225">
      <c r="A225" s="15" t="str">
        <f>HYPERLINK("https://docs.google.com/spreadsheets/d/1tElnwN2HVf964gGw8Ei53RyfjarS40wkDY3zivAPWp0/edit?usp=sharing","Zeke Smith")</f>
        <v>Zeke Smith</v>
      </c>
      <c r="B225" s="13">
        <v>34.0</v>
      </c>
      <c r="C225" s="13">
        <v>25.0</v>
      </c>
      <c r="D225" s="13">
        <v>11.0</v>
      </c>
      <c r="E225" s="16">
        <v>2.27</v>
      </c>
      <c r="F225" s="17">
        <v>0.0607</v>
      </c>
      <c r="G225" s="13">
        <v>29.0</v>
      </c>
      <c r="H225" s="13">
        <v>2.0</v>
      </c>
      <c r="I225" s="13" t="s">
        <v>9</v>
      </c>
      <c r="J225" s="13" t="s">
        <v>58</v>
      </c>
      <c r="K225" s="13" t="s">
        <v>86</v>
      </c>
      <c r="L225" s="13">
        <v>8.0</v>
      </c>
      <c r="M225" s="13">
        <v>5.0</v>
      </c>
      <c r="N225" s="13" t="s">
        <v>23</v>
      </c>
      <c r="O225" s="13">
        <v>6.0</v>
      </c>
      <c r="P225" s="13" t="s">
        <v>23</v>
      </c>
      <c r="Q225" s="13" t="s">
        <v>23</v>
      </c>
      <c r="R225" s="13"/>
      <c r="S225" s="13" t="s">
        <v>23</v>
      </c>
      <c r="T225" s="13" t="s">
        <v>23</v>
      </c>
      <c r="U225" s="13" t="s">
        <v>23</v>
      </c>
    </row>
    <row r="226">
      <c r="A226" s="9" t="str">
        <f>HYPERLINK("https://docs.google.com/spreadsheets/d/1OvIOVR4AMBMcafVt9o6KEur-eEFhew1kw_KUv3DV3Xs/edit?usp=sharing","Jim Rice")</f>
        <v>Jim Rice</v>
      </c>
      <c r="B226" s="10">
        <v>23.0</v>
      </c>
      <c r="C226" s="10">
        <v>25.0</v>
      </c>
      <c r="D226" s="10">
        <v>10.0</v>
      </c>
      <c r="E226" s="11">
        <v>2.5</v>
      </c>
      <c r="F226" s="12">
        <v>0.0623</v>
      </c>
      <c r="G226" s="10">
        <v>25.0</v>
      </c>
      <c r="H226" s="10" t="s">
        <v>23</v>
      </c>
      <c r="I226" s="10" t="s">
        <v>9</v>
      </c>
      <c r="J226" s="10" t="s">
        <v>84</v>
      </c>
      <c r="K226" s="10" t="s">
        <v>105</v>
      </c>
      <c r="L226" s="13">
        <v>5.0</v>
      </c>
      <c r="M226" s="13">
        <v>3.0</v>
      </c>
      <c r="N226" s="13">
        <v>1.0</v>
      </c>
      <c r="O226" s="13">
        <v>7.0</v>
      </c>
      <c r="P226" s="13" t="s">
        <v>23</v>
      </c>
      <c r="Q226" s="13">
        <v>1.0</v>
      </c>
      <c r="R226" s="13"/>
      <c r="S226" s="10" t="s">
        <v>23</v>
      </c>
      <c r="T226" s="10"/>
      <c r="U226" s="10" t="s">
        <v>23</v>
      </c>
    </row>
    <row r="227">
      <c r="A227" s="9" t="str">
        <f>HYPERLINK("https://docs.google.com/spreadsheets/d/1HA0vQC0CSnQtVc8u58vwNd3sIFCc79SKVqM1abMG1hI/edit?usp=sharing","Will Sims II")</f>
        <v>Will Sims II</v>
      </c>
      <c r="B227" s="10">
        <v>30.0</v>
      </c>
      <c r="C227" s="10">
        <v>24.0</v>
      </c>
      <c r="D227" s="10">
        <v>14.0</v>
      </c>
      <c r="E227" s="11">
        <v>1.71</v>
      </c>
      <c r="F227" s="12">
        <v>0.0525</v>
      </c>
      <c r="G227" s="10">
        <v>39.0</v>
      </c>
      <c r="H227" s="10">
        <v>4.0</v>
      </c>
      <c r="I227" s="10" t="s">
        <v>9</v>
      </c>
      <c r="J227" s="10" t="s">
        <v>50</v>
      </c>
      <c r="K227" s="10" t="s">
        <v>51</v>
      </c>
      <c r="L227" s="13">
        <v>8.0</v>
      </c>
      <c r="M227" s="13">
        <v>3.0</v>
      </c>
      <c r="N227" s="13" t="s">
        <v>23</v>
      </c>
      <c r="O227" s="13">
        <v>13.0</v>
      </c>
      <c r="P227" s="10" t="s">
        <v>23</v>
      </c>
      <c r="Q227" s="10" t="s">
        <v>23</v>
      </c>
      <c r="R227" s="10"/>
      <c r="S227" s="10" t="s">
        <v>23</v>
      </c>
      <c r="T227" s="10"/>
      <c r="U227" s="10" t="s">
        <v>23</v>
      </c>
    </row>
    <row r="228">
      <c r="A228" s="9" t="str">
        <f>HYPERLINK("https://docs.google.com/spreadsheets/d/1CcEdjXKuhm6HmXecNbnscxpFab1HRQEjKSDga6QxqAU/edit?usp=sharing","Andrea Boehlke")</f>
        <v>Andrea Boehlke</v>
      </c>
      <c r="B228" s="10">
        <v>22.0</v>
      </c>
      <c r="C228" s="10">
        <v>24.0</v>
      </c>
      <c r="D228" s="10">
        <v>14.0</v>
      </c>
      <c r="E228" s="11">
        <v>1.71</v>
      </c>
      <c r="F228" s="12">
        <v>0.0566</v>
      </c>
      <c r="G228" s="10">
        <v>37.0</v>
      </c>
      <c r="H228" s="10">
        <v>4.0</v>
      </c>
      <c r="I228" s="10" t="s">
        <v>9</v>
      </c>
      <c r="J228" s="10" t="s">
        <v>40</v>
      </c>
      <c r="K228" s="10" t="s">
        <v>70</v>
      </c>
      <c r="L228" s="13">
        <v>7.0</v>
      </c>
      <c r="M228" s="13">
        <v>4.0</v>
      </c>
      <c r="N228" s="13">
        <v>1.0</v>
      </c>
      <c r="O228" s="13">
        <v>11.0</v>
      </c>
      <c r="P228" s="13" t="s">
        <v>23</v>
      </c>
      <c r="Q228" s="13">
        <v>1.0</v>
      </c>
      <c r="R228" s="13"/>
      <c r="S228" s="10" t="s">
        <v>23</v>
      </c>
      <c r="T228" s="10"/>
      <c r="U228" s="10" t="s">
        <v>23</v>
      </c>
    </row>
    <row r="229">
      <c r="A229" s="15" t="str">
        <f>HYPERLINK("https://docs.google.com/spreadsheets/d/1tElnwN2HVf964gGw8Ei53RyfjarS40wkDY3zivAPWp0/edit?usp=sharing","Michaela Bradshaw")</f>
        <v>Michaela Bradshaw</v>
      </c>
      <c r="B229" s="13">
        <v>34.0</v>
      </c>
      <c r="C229" s="13">
        <v>24.0</v>
      </c>
      <c r="D229" s="13">
        <v>13.0</v>
      </c>
      <c r="E229" s="16">
        <v>1.85</v>
      </c>
      <c r="F229" s="17">
        <v>0.0583</v>
      </c>
      <c r="G229" s="13">
        <v>35.0</v>
      </c>
      <c r="H229" s="13">
        <v>4.0</v>
      </c>
      <c r="I229" s="13" t="s">
        <v>9</v>
      </c>
      <c r="J229" s="13" t="s">
        <v>24</v>
      </c>
      <c r="K229" s="13" t="s">
        <v>44</v>
      </c>
      <c r="L229" s="13">
        <v>4.0</v>
      </c>
      <c r="M229" s="13">
        <v>3.0</v>
      </c>
      <c r="N229" s="13" t="s">
        <v>23</v>
      </c>
      <c r="O229" s="13">
        <v>11.0</v>
      </c>
      <c r="P229" s="13" t="s">
        <v>23</v>
      </c>
      <c r="Q229" s="13" t="s">
        <v>23</v>
      </c>
      <c r="R229" s="13"/>
      <c r="S229" s="13" t="s">
        <v>23</v>
      </c>
      <c r="T229" s="13" t="s">
        <v>23</v>
      </c>
      <c r="U229" s="13" t="s">
        <v>23</v>
      </c>
    </row>
    <row r="230">
      <c r="A230" s="15" t="str">
        <f>HYPERLINK("https://docs.google.com/spreadsheets/d/1d8Hzm_QCJnDef8NF_dVYBZLjLjFI3Fl8Yt14m8Zhn8Y/edit?usp=sharing","Caryn Groedel")</f>
        <v>Caryn Groedel</v>
      </c>
      <c r="B230" s="13">
        <v>10.0</v>
      </c>
      <c r="C230" s="13">
        <v>24.0</v>
      </c>
      <c r="D230" s="13">
        <v>13.0</v>
      </c>
      <c r="E230" s="16">
        <v>1.85</v>
      </c>
      <c r="F230" s="17">
        <v>0.0562</v>
      </c>
      <c r="G230" s="13">
        <v>36.0</v>
      </c>
      <c r="H230" s="13">
        <v>3.0</v>
      </c>
      <c r="I230" s="13" t="s">
        <v>42</v>
      </c>
      <c r="J230" s="13" t="s">
        <v>46</v>
      </c>
      <c r="K230" s="13" t="s">
        <v>67</v>
      </c>
      <c r="L230" s="13">
        <v>8.0</v>
      </c>
      <c r="M230" s="13">
        <v>7.0</v>
      </c>
      <c r="N230" s="13" t="s">
        <v>23</v>
      </c>
      <c r="O230" s="13">
        <v>6.0</v>
      </c>
      <c r="P230" s="13" t="s">
        <v>23</v>
      </c>
      <c r="Q230" s="13" t="s">
        <v>23</v>
      </c>
      <c r="R230" s="13"/>
      <c r="S230" s="13" t="s">
        <v>23</v>
      </c>
      <c r="T230" s="13" t="s">
        <v>23</v>
      </c>
      <c r="U230" s="13" t="s">
        <v>23</v>
      </c>
    </row>
    <row r="231">
      <c r="A231" s="9" t="str">
        <f>HYPERLINK("https://docs.google.com/spreadsheets/d/1w0I5RoQ7uENhUG1ncC5V9B3b6BQapplx180-f9F9s4w/edit?usp=sharing","Jeanne Hebert")</f>
        <v>Jeanne Hebert</v>
      </c>
      <c r="B231" s="10">
        <v>6.0</v>
      </c>
      <c r="C231" s="10">
        <v>24.0</v>
      </c>
      <c r="D231" s="10">
        <v>5.0</v>
      </c>
      <c r="E231" s="11">
        <v>4.8</v>
      </c>
      <c r="F231" s="12">
        <v>0.0494</v>
      </c>
      <c r="G231" s="10">
        <v>15.0</v>
      </c>
      <c r="H231" s="10" t="s">
        <v>23</v>
      </c>
      <c r="I231" s="10" t="s">
        <v>42</v>
      </c>
      <c r="J231" s="10" t="s">
        <v>60</v>
      </c>
      <c r="K231" s="10" t="s">
        <v>106</v>
      </c>
      <c r="L231" s="13">
        <v>2.0</v>
      </c>
      <c r="M231" s="13">
        <v>2.0</v>
      </c>
      <c r="N231" s="13" t="s">
        <v>23</v>
      </c>
      <c r="O231" s="13">
        <v>3.0</v>
      </c>
      <c r="P231" s="10" t="s">
        <v>23</v>
      </c>
      <c r="Q231" s="10" t="s">
        <v>23</v>
      </c>
      <c r="R231" s="10"/>
      <c r="S231" s="10" t="s">
        <v>23</v>
      </c>
      <c r="T231" s="10"/>
      <c r="U231" s="10" t="s">
        <v>23</v>
      </c>
    </row>
    <row r="232">
      <c r="A232" s="9" t="str">
        <f>HYPERLINK("https://docs.google.com/spreadsheets/d/1CcEdjXKuhm6HmXecNbnscxpFab1HRQEjKSDga6QxqAU/edit?usp=sharing","Ashley Underwood")</f>
        <v>Ashley Underwood</v>
      </c>
      <c r="B232" s="10">
        <v>22.0</v>
      </c>
      <c r="C232" s="10">
        <v>23.0</v>
      </c>
      <c r="D232" s="10">
        <v>14.0</v>
      </c>
      <c r="E232" s="11">
        <v>1.64</v>
      </c>
      <c r="F232" s="12">
        <v>0.0542</v>
      </c>
      <c r="G232" s="10">
        <v>38.0</v>
      </c>
      <c r="H232" s="10">
        <v>5.0</v>
      </c>
      <c r="I232" s="10" t="s">
        <v>9</v>
      </c>
      <c r="J232" s="10" t="s">
        <v>45</v>
      </c>
      <c r="K232" s="10" t="s">
        <v>41</v>
      </c>
      <c r="L232" s="13">
        <v>7.0</v>
      </c>
      <c r="M232" s="13">
        <v>4.0</v>
      </c>
      <c r="N232" s="13">
        <v>2.0</v>
      </c>
      <c r="O232" s="13">
        <v>13.0</v>
      </c>
      <c r="P232" s="13" t="s">
        <v>23</v>
      </c>
      <c r="Q232" s="13" t="s">
        <v>23</v>
      </c>
      <c r="R232" s="13"/>
      <c r="S232" s="10" t="s">
        <v>23</v>
      </c>
      <c r="T232" s="10"/>
      <c r="U232" s="10" t="s">
        <v>23</v>
      </c>
    </row>
    <row r="233">
      <c r="A233" s="9" t="str">
        <f>HYPERLINK("https://docs.google.com/spreadsheets/d/1CcEdjXKuhm6HmXecNbnscxpFab1HRQEjKSDga6QxqAU/edit?usp=sharing","Steve Wright")</f>
        <v>Steve Wright</v>
      </c>
      <c r="B233" s="10">
        <v>22.0</v>
      </c>
      <c r="C233" s="10">
        <v>23.0</v>
      </c>
      <c r="D233" s="10">
        <v>12.0</v>
      </c>
      <c r="E233" s="11">
        <v>1.92</v>
      </c>
      <c r="F233" s="12">
        <v>0.0542</v>
      </c>
      <c r="G233" s="10">
        <v>31.0</v>
      </c>
      <c r="H233" s="10">
        <v>4.0</v>
      </c>
      <c r="I233" s="10" t="s">
        <v>9</v>
      </c>
      <c r="J233" s="10" t="s">
        <v>43</v>
      </c>
      <c r="K233" s="10" t="s">
        <v>68</v>
      </c>
      <c r="L233" s="13">
        <v>4.0</v>
      </c>
      <c r="M233" s="13">
        <v>3.0</v>
      </c>
      <c r="N233" s="13" t="s">
        <v>23</v>
      </c>
      <c r="O233" s="13">
        <v>10.0</v>
      </c>
      <c r="P233" s="13" t="s">
        <v>23</v>
      </c>
      <c r="Q233" s="13">
        <v>1.0</v>
      </c>
      <c r="R233" s="13"/>
      <c r="S233" s="10" t="s">
        <v>23</v>
      </c>
      <c r="T233" s="10"/>
      <c r="U233" s="10" t="s">
        <v>23</v>
      </c>
    </row>
    <row r="234">
      <c r="A234" s="15" t="str">
        <f>HYPERLINK("https://docs.google.com/spreadsheets/d/1tElnwN2HVf964gGw8Ei53RyfjarS40wkDY3zivAPWp0/edit?usp=sharing","Sierra Thomas")</f>
        <v>Sierra Thomas</v>
      </c>
      <c r="B234" s="13">
        <v>34.0</v>
      </c>
      <c r="C234" s="13">
        <v>23.0</v>
      </c>
      <c r="D234" s="13">
        <v>12.0</v>
      </c>
      <c r="E234" s="16">
        <v>1.92</v>
      </c>
      <c r="F234" s="17">
        <v>0.0558</v>
      </c>
      <c r="G234" s="13">
        <v>32.0</v>
      </c>
      <c r="H234" s="13">
        <v>3.0</v>
      </c>
      <c r="I234" s="13" t="s">
        <v>9</v>
      </c>
      <c r="J234" s="13" t="s">
        <v>46</v>
      </c>
      <c r="K234" s="13" t="s">
        <v>63</v>
      </c>
      <c r="L234" s="13">
        <v>5.0</v>
      </c>
      <c r="M234" s="13">
        <v>5.0</v>
      </c>
      <c r="N234" s="13" t="s">
        <v>23</v>
      </c>
      <c r="O234" s="13">
        <v>7.0</v>
      </c>
      <c r="P234" s="13" t="s">
        <v>23</v>
      </c>
      <c r="Q234" s="13" t="s">
        <v>23</v>
      </c>
      <c r="R234" s="13"/>
      <c r="S234" s="13" t="s">
        <v>23</v>
      </c>
      <c r="T234" s="13">
        <v>1.0</v>
      </c>
      <c r="U234" s="13" t="s">
        <v>23</v>
      </c>
    </row>
    <row r="235">
      <c r="A235" s="9" t="str">
        <f>HYPERLINK("https://docs.google.com/spreadsheets/d/1OvIOVR4AMBMcafVt9o6KEur-eEFhew1kw_KUv3DV3Xs/edit?usp=sharing","Dawn Meehan")</f>
        <v>Dawn Meehan</v>
      </c>
      <c r="B235" s="10">
        <v>23.0</v>
      </c>
      <c r="C235" s="10">
        <v>23.0</v>
      </c>
      <c r="D235" s="10">
        <v>11.0</v>
      </c>
      <c r="E235" s="11">
        <v>2.09</v>
      </c>
      <c r="F235" s="12">
        <v>0.0574</v>
      </c>
      <c r="G235" s="10">
        <v>28.0</v>
      </c>
      <c r="H235" s="10">
        <v>4.0</v>
      </c>
      <c r="I235" s="10" t="s">
        <v>9</v>
      </c>
      <c r="J235" s="10" t="s">
        <v>43</v>
      </c>
      <c r="K235" s="10" t="s">
        <v>68</v>
      </c>
      <c r="L235" s="13">
        <v>5.0</v>
      </c>
      <c r="M235" s="13">
        <v>3.0</v>
      </c>
      <c r="N235" s="13">
        <v>1.0</v>
      </c>
      <c r="O235" s="13">
        <v>8.0</v>
      </c>
      <c r="P235" s="13" t="s">
        <v>23</v>
      </c>
      <c r="Q235" s="13">
        <v>1.0</v>
      </c>
      <c r="R235" s="13"/>
      <c r="S235" s="10" t="s">
        <v>23</v>
      </c>
      <c r="T235" s="10"/>
      <c r="U235" s="10" t="s">
        <v>23</v>
      </c>
    </row>
    <row r="236">
      <c r="A236" s="15" t="str">
        <f>HYPERLINK("https://docs.google.com/spreadsheets/d/1VEbyebFdBtPJKQC_U2uGrW6_v1fn6Hsoz3YYLyCxHR0/edit?usp=sharing","Courtney Marit")</f>
        <v>Courtney Marit</v>
      </c>
      <c r="B236" s="13">
        <v>12.0</v>
      </c>
      <c r="C236" s="13">
        <v>23.0</v>
      </c>
      <c r="D236" s="13">
        <v>11.0</v>
      </c>
      <c r="E236" s="16">
        <v>2.09</v>
      </c>
      <c r="F236" s="17">
        <v>0.0273</v>
      </c>
      <c r="G236" s="13">
        <v>30.0</v>
      </c>
      <c r="H236" s="13">
        <v>2.0</v>
      </c>
      <c r="I236" s="13" t="s">
        <v>9</v>
      </c>
      <c r="J236" s="13" t="s">
        <v>58</v>
      </c>
      <c r="K236" s="13" t="s">
        <v>59</v>
      </c>
      <c r="L236" s="13">
        <v>6.0</v>
      </c>
      <c r="M236" s="13">
        <v>4.0</v>
      </c>
      <c r="N236" s="13" t="s">
        <v>23</v>
      </c>
      <c r="O236" s="13">
        <v>6.0</v>
      </c>
      <c r="P236" s="13" t="s">
        <v>23</v>
      </c>
      <c r="Q236" s="13" t="s">
        <v>23</v>
      </c>
      <c r="R236" s="13"/>
      <c r="S236" s="13" t="s">
        <v>23</v>
      </c>
      <c r="T236" s="13" t="s">
        <v>23</v>
      </c>
      <c r="U236" s="13" t="s">
        <v>23</v>
      </c>
    </row>
    <row r="237">
      <c r="A237" s="9" t="str">
        <f>HYPERLINK("https://docs.google.com/spreadsheets/d/18wmIvmUS3SeZNSPQeUzr6sPl9GBYpVSlOaFR_kJCmKo/edit?usp=sharing","Amber Brkich")</f>
        <v>Amber Brkich</v>
      </c>
      <c r="B237" s="10">
        <v>2.0</v>
      </c>
      <c r="C237" s="10">
        <v>23.0</v>
      </c>
      <c r="D237" s="10">
        <v>11.0</v>
      </c>
      <c r="E237" s="11">
        <v>2.09</v>
      </c>
      <c r="F237" s="12">
        <v>0.041</v>
      </c>
      <c r="G237" s="10">
        <v>33.0</v>
      </c>
      <c r="H237" s="10" t="s">
        <v>23</v>
      </c>
      <c r="I237" s="10" t="s">
        <v>9</v>
      </c>
      <c r="J237" s="10" t="s">
        <v>58</v>
      </c>
      <c r="K237" s="10" t="s">
        <v>59</v>
      </c>
      <c r="L237" s="13">
        <v>5.0</v>
      </c>
      <c r="M237" s="13">
        <v>2.0</v>
      </c>
      <c r="N237" s="13" t="s">
        <v>23</v>
      </c>
      <c r="O237" s="13">
        <v>8.0</v>
      </c>
      <c r="P237" s="10" t="s">
        <v>23</v>
      </c>
      <c r="Q237" s="10" t="s">
        <v>23</v>
      </c>
      <c r="R237" s="10"/>
      <c r="S237" s="10" t="s">
        <v>23</v>
      </c>
      <c r="T237" s="10"/>
      <c r="U237" s="10" t="s">
        <v>23</v>
      </c>
    </row>
    <row r="238">
      <c r="A238" s="19" t="str">
        <f>HYPERLINK("https://docs.google.com/spreadsheets/d/1TniiK35-AGMNddj9lkge_tT9QfOGXMfX2thnTv8npTo/edit?usp=sharing","Penny Ramsey")</f>
        <v>Penny Ramsey</v>
      </c>
      <c r="B238" s="20">
        <v>5.0</v>
      </c>
      <c r="C238" s="21">
        <v>23.0</v>
      </c>
      <c r="D238" s="20">
        <v>10.0</v>
      </c>
      <c r="E238" s="22">
        <v>2.3</v>
      </c>
      <c r="F238" s="14">
        <v>0.0476</v>
      </c>
      <c r="G238" s="21">
        <v>30.0</v>
      </c>
      <c r="H238" s="21">
        <v>1.0</v>
      </c>
      <c r="I238" s="10" t="s">
        <v>9</v>
      </c>
      <c r="J238" s="21" t="s">
        <v>43</v>
      </c>
      <c r="K238" s="20" t="s">
        <v>57</v>
      </c>
      <c r="L238" s="13">
        <v>5.0</v>
      </c>
      <c r="M238" s="13">
        <v>3.0</v>
      </c>
      <c r="N238" s="13" t="s">
        <v>23</v>
      </c>
      <c r="O238" s="13">
        <v>7.0</v>
      </c>
      <c r="P238" s="10" t="s">
        <v>23</v>
      </c>
      <c r="Q238" s="10" t="s">
        <v>23</v>
      </c>
      <c r="R238" s="10"/>
      <c r="S238" s="10" t="s">
        <v>23</v>
      </c>
      <c r="T238" s="10"/>
      <c r="U238" s="10" t="s">
        <v>23</v>
      </c>
    </row>
    <row r="239">
      <c r="A239" s="15" t="str">
        <f>HYPERLINK("https://docs.google.com/spreadsheets/d/1ZajpFwOHrMmupCcACeLhLTzPOwhTrjKRR1FJtUgeLww/edit?usp=sharing","Taylor Lee Stocker")</f>
        <v>Taylor Lee Stocker</v>
      </c>
      <c r="B239" s="13">
        <v>33.0</v>
      </c>
      <c r="C239" s="13">
        <v>23.0</v>
      </c>
      <c r="D239" s="13">
        <v>9.0</v>
      </c>
      <c r="E239" s="16">
        <v>2.56</v>
      </c>
      <c r="F239" s="17">
        <v>0.0529</v>
      </c>
      <c r="G239" s="13">
        <v>25.0</v>
      </c>
      <c r="H239" s="13">
        <v>1.0</v>
      </c>
      <c r="I239" s="13" t="s">
        <v>9</v>
      </c>
      <c r="J239" s="13" t="s">
        <v>48</v>
      </c>
      <c r="K239" s="13" t="s">
        <v>82</v>
      </c>
      <c r="L239" s="13">
        <v>4.0</v>
      </c>
      <c r="M239" s="13">
        <v>5.0</v>
      </c>
      <c r="N239" s="13" t="s">
        <v>23</v>
      </c>
      <c r="O239" s="13">
        <v>4.0</v>
      </c>
      <c r="P239" s="13" t="s">
        <v>23</v>
      </c>
      <c r="Q239" s="13" t="s">
        <v>23</v>
      </c>
      <c r="R239" s="13"/>
      <c r="S239" s="13" t="s">
        <v>23</v>
      </c>
      <c r="T239" s="13" t="s">
        <v>23</v>
      </c>
      <c r="U239" s="13" t="s">
        <v>23</v>
      </c>
    </row>
    <row r="240">
      <c r="A240" s="9" t="str">
        <f>HYPERLINK("https://docs.google.com/spreadsheets/d/1y7awzkkkaNlh7XKjc44AGriTvqB9H3pVz8cFLyIYdbo/edit?usp=sharing","LJ McKanas")</f>
        <v>LJ McKanas</v>
      </c>
      <c r="B240" s="10">
        <v>28.0</v>
      </c>
      <c r="C240" s="10">
        <v>23.0</v>
      </c>
      <c r="D240" s="10">
        <v>9.0</v>
      </c>
      <c r="E240" s="11">
        <v>2.56</v>
      </c>
      <c r="F240" s="12">
        <v>0.0501</v>
      </c>
      <c r="G240" s="10">
        <v>25.0</v>
      </c>
      <c r="H240" s="10">
        <v>2.0</v>
      </c>
      <c r="I240" s="10" t="s">
        <v>9</v>
      </c>
      <c r="J240" s="10" t="s">
        <v>43</v>
      </c>
      <c r="K240" s="10" t="s">
        <v>83</v>
      </c>
      <c r="L240" s="13">
        <v>7.0</v>
      </c>
      <c r="M240" s="13">
        <v>4.0</v>
      </c>
      <c r="N240" s="13" t="s">
        <v>23</v>
      </c>
      <c r="O240" s="13">
        <v>5.0</v>
      </c>
      <c r="P240" s="10" t="s">
        <v>23</v>
      </c>
      <c r="Q240" s="10" t="s">
        <v>23</v>
      </c>
      <c r="R240" s="10"/>
      <c r="S240" s="10">
        <v>1.0</v>
      </c>
      <c r="T240" s="10"/>
      <c r="U240" s="10" t="s">
        <v>23</v>
      </c>
    </row>
    <row r="241">
      <c r="A241" s="15" t="str">
        <f>HYPERLINK("https://docs.google.com/spreadsheets/d/1d8Hzm_QCJnDef8NF_dVYBZLjLjFI3Fl8Yt14m8Zhn8Y/edit?usp=sharing","Coby Archa")</f>
        <v>Coby Archa</v>
      </c>
      <c r="B241" s="13">
        <v>10.0</v>
      </c>
      <c r="C241" s="13">
        <v>23.0</v>
      </c>
      <c r="D241" s="13">
        <v>9.0</v>
      </c>
      <c r="E241" s="16">
        <v>2.56</v>
      </c>
      <c r="F241" s="17">
        <v>0.0539</v>
      </c>
      <c r="G241" s="13">
        <v>24.0</v>
      </c>
      <c r="H241" s="13">
        <v>1.0</v>
      </c>
      <c r="I241" s="13" t="s">
        <v>42</v>
      </c>
      <c r="J241" s="13" t="s">
        <v>84</v>
      </c>
      <c r="K241" s="13" t="s">
        <v>63</v>
      </c>
      <c r="L241" s="13">
        <v>6.0</v>
      </c>
      <c r="M241" s="13">
        <v>7.0</v>
      </c>
      <c r="N241" s="13" t="s">
        <v>23</v>
      </c>
      <c r="O241" s="13">
        <v>2.0</v>
      </c>
      <c r="P241" s="13" t="s">
        <v>23</v>
      </c>
      <c r="Q241" s="13" t="s">
        <v>23</v>
      </c>
      <c r="R241" s="13"/>
      <c r="S241" s="13" t="s">
        <v>23</v>
      </c>
      <c r="T241" s="13" t="s">
        <v>23</v>
      </c>
      <c r="U241" s="13" t="s">
        <v>23</v>
      </c>
    </row>
    <row r="242">
      <c r="A242" s="9" t="str">
        <f>HYPERLINK("https://docs.google.com/spreadsheets/d/1EZNO7rY3X3GsqJDX9iY8RpZJJDJ-K4nm_Mxm1g397N0/edit?usp=sharing","Kelly Goldsmith")</f>
        <v>Kelly Goldsmith</v>
      </c>
      <c r="B242" s="10">
        <v>3.0</v>
      </c>
      <c r="C242" s="10">
        <v>23.0</v>
      </c>
      <c r="D242" s="10">
        <v>8.0</v>
      </c>
      <c r="E242" s="11">
        <v>2.88</v>
      </c>
      <c r="F242" s="12">
        <v>0.046</v>
      </c>
      <c r="G242" s="10">
        <v>24.0</v>
      </c>
      <c r="H242" s="10">
        <v>2.0</v>
      </c>
      <c r="I242" s="10" t="s">
        <v>9</v>
      </c>
      <c r="J242" s="10" t="s">
        <v>84</v>
      </c>
      <c r="K242" s="10" t="s">
        <v>87</v>
      </c>
      <c r="L242" s="13">
        <v>3.0</v>
      </c>
      <c r="M242" s="13">
        <v>3.0</v>
      </c>
      <c r="N242" s="13" t="s">
        <v>23</v>
      </c>
      <c r="O242" s="13">
        <v>5.0</v>
      </c>
      <c r="P242" s="10" t="s">
        <v>23</v>
      </c>
      <c r="Q242" s="10" t="s">
        <v>23</v>
      </c>
      <c r="R242" s="10"/>
      <c r="S242" s="10" t="s">
        <v>23</v>
      </c>
      <c r="T242" s="10"/>
      <c r="U242" s="10" t="s">
        <v>23</v>
      </c>
    </row>
    <row r="243">
      <c r="A243" s="9" t="str">
        <f>HYPERLINK("https://docs.google.com/spreadsheets/d/18wmIvmUS3SeZNSPQeUzr6sPl9GBYpVSlOaFR_kJCmKo/edit?usp=sharing","Alicia Calaway")</f>
        <v>Alicia Calaway</v>
      </c>
      <c r="B243" s="10">
        <v>2.0</v>
      </c>
      <c r="C243" s="10">
        <v>23.0</v>
      </c>
      <c r="D243" s="10">
        <v>8.0</v>
      </c>
      <c r="E243" s="11">
        <v>2.88</v>
      </c>
      <c r="F243" s="12">
        <v>0.041</v>
      </c>
      <c r="G243" s="10">
        <v>24.0</v>
      </c>
      <c r="H243" s="10" t="s">
        <v>23</v>
      </c>
      <c r="I243" s="10" t="s">
        <v>9</v>
      </c>
      <c r="J243" s="10" t="s">
        <v>84</v>
      </c>
      <c r="K243" s="10" t="s">
        <v>87</v>
      </c>
      <c r="L243" s="13">
        <v>3.0</v>
      </c>
      <c r="M243" s="13">
        <v>3.0</v>
      </c>
      <c r="N243" s="13" t="s">
        <v>23</v>
      </c>
      <c r="O243" s="13">
        <v>4.0</v>
      </c>
      <c r="P243" s="10" t="s">
        <v>23</v>
      </c>
      <c r="Q243" s="10" t="s">
        <v>23</v>
      </c>
      <c r="R243" s="10"/>
      <c r="S243" s="10" t="s">
        <v>23</v>
      </c>
      <c r="T243" s="10"/>
      <c r="U243" s="10" t="s">
        <v>23</v>
      </c>
    </row>
    <row r="244">
      <c r="A244" s="9" t="str">
        <f>HYPERLINK("https://docs.google.com/spreadsheets/d/1y7awzkkkaNlh7XKjc44AGriTvqB9H3pVz8cFLyIYdbo/edit?usp=sharing","Trish Hegarty")</f>
        <v>Trish Hegarty</v>
      </c>
      <c r="B244" s="10">
        <v>28.0</v>
      </c>
      <c r="C244" s="10">
        <v>22.0</v>
      </c>
      <c r="D244" s="10">
        <v>13.0</v>
      </c>
      <c r="E244" s="11">
        <v>1.69</v>
      </c>
      <c r="F244" s="12">
        <v>0.0479</v>
      </c>
      <c r="G244" s="10">
        <v>36.0</v>
      </c>
      <c r="H244" s="10">
        <v>3.0</v>
      </c>
      <c r="I244" s="10" t="s">
        <v>9</v>
      </c>
      <c r="J244" s="10" t="s">
        <v>24</v>
      </c>
      <c r="K244" s="10" t="s">
        <v>70</v>
      </c>
      <c r="L244" s="13">
        <v>9.0</v>
      </c>
      <c r="M244" s="13">
        <v>5.0</v>
      </c>
      <c r="N244" s="13" t="s">
        <v>23</v>
      </c>
      <c r="O244" s="13">
        <v>8.0</v>
      </c>
      <c r="P244" s="10" t="s">
        <v>23</v>
      </c>
      <c r="Q244" s="10" t="s">
        <v>23</v>
      </c>
      <c r="R244" s="10"/>
      <c r="S244" s="10" t="s">
        <v>23</v>
      </c>
      <c r="T244" s="10"/>
      <c r="U244" s="10" t="s">
        <v>23</v>
      </c>
    </row>
    <row r="245">
      <c r="A245" s="9" t="str">
        <f>HYPERLINK("https://docs.google.com/spreadsheets/d/1iNFGyKFcJm-tPp7Dg94yi7mHCDbJssmAD_PiaDM_tAE/edit?usp=sharing","Reed Kelly")</f>
        <v>Reed Kelly</v>
      </c>
      <c r="B245" s="10">
        <v>29.0</v>
      </c>
      <c r="C245" s="10">
        <v>22.0</v>
      </c>
      <c r="D245" s="10">
        <v>11.0</v>
      </c>
      <c r="E245" s="11">
        <v>2.0</v>
      </c>
      <c r="F245" s="12">
        <v>0.0494</v>
      </c>
      <c r="G245" s="10">
        <v>29.0</v>
      </c>
      <c r="H245" s="10">
        <v>3.0</v>
      </c>
      <c r="I245" s="10" t="s">
        <v>9</v>
      </c>
      <c r="J245" s="10" t="s">
        <v>58</v>
      </c>
      <c r="K245" s="10" t="s">
        <v>47</v>
      </c>
      <c r="L245" s="23">
        <v>7.0</v>
      </c>
      <c r="M245" s="23">
        <v>5.0</v>
      </c>
      <c r="N245" s="23">
        <v>1.0</v>
      </c>
      <c r="O245" s="23">
        <v>5.0</v>
      </c>
      <c r="P245" s="23" t="s">
        <v>23</v>
      </c>
      <c r="Q245" s="23" t="s">
        <v>23</v>
      </c>
      <c r="R245" s="23"/>
      <c r="S245" s="13" t="s">
        <v>23</v>
      </c>
      <c r="T245" s="13"/>
      <c r="U245" s="10" t="s">
        <v>23</v>
      </c>
    </row>
    <row r="246">
      <c r="A246" s="15" t="str">
        <f>HYPERLINK("https://docs.google.com/spreadsheets/d/1yi_HtvN4TS5uRWCCFJg5RFaoouiIIe8CAtY_XnqP6iM/edit?usp=sharing","Leann Slaby")</f>
        <v>Leann Slaby</v>
      </c>
      <c r="B246" s="13">
        <v>9.0</v>
      </c>
      <c r="C246" s="13">
        <v>22.0</v>
      </c>
      <c r="D246" s="13">
        <v>11.0</v>
      </c>
      <c r="E246" s="16">
        <v>2.0</v>
      </c>
      <c r="F246" s="17">
        <v>0.0525</v>
      </c>
      <c r="G246" s="13">
        <v>30.0</v>
      </c>
      <c r="H246" s="13">
        <v>1.0</v>
      </c>
      <c r="I246" s="13" t="s">
        <v>9</v>
      </c>
      <c r="J246" s="13" t="s">
        <v>43</v>
      </c>
      <c r="K246" s="13" t="s">
        <v>66</v>
      </c>
      <c r="L246" s="13">
        <v>6.0</v>
      </c>
      <c r="M246" s="13">
        <v>3.0</v>
      </c>
      <c r="N246" s="13" t="s">
        <v>23</v>
      </c>
      <c r="O246" s="13">
        <v>8.0</v>
      </c>
      <c r="P246" s="10" t="s">
        <v>23</v>
      </c>
      <c r="Q246" s="10" t="s">
        <v>23</v>
      </c>
      <c r="R246" s="10"/>
      <c r="S246" s="10" t="s">
        <v>23</v>
      </c>
      <c r="T246" s="10"/>
      <c r="U246" s="10" t="s">
        <v>23</v>
      </c>
    </row>
    <row r="247">
      <c r="A247" s="15" t="str">
        <f>HYPERLINK("https://docs.google.com/spreadsheets/d/1ZajpFwOHrMmupCcACeLhLTzPOwhTrjKRR1FJtUgeLww/edit?usp=sharing","Chris Hammons")</f>
        <v>Chris Hammons</v>
      </c>
      <c r="B247" s="13">
        <v>33.0</v>
      </c>
      <c r="C247" s="13">
        <v>22.0</v>
      </c>
      <c r="D247" s="13">
        <v>10.0</v>
      </c>
      <c r="E247" s="16">
        <v>2.2</v>
      </c>
      <c r="F247" s="17">
        <v>0.0506</v>
      </c>
      <c r="G247" s="13">
        <v>28.0</v>
      </c>
      <c r="H247" s="13">
        <v>1.0</v>
      </c>
      <c r="I247" s="13" t="s">
        <v>9</v>
      </c>
      <c r="J247" s="13" t="s">
        <v>43</v>
      </c>
      <c r="K247" s="13" t="s">
        <v>69</v>
      </c>
      <c r="L247" s="13">
        <v>6.0</v>
      </c>
      <c r="M247" s="13">
        <v>3.0</v>
      </c>
      <c r="N247" s="13" t="s">
        <v>23</v>
      </c>
      <c r="O247" s="13">
        <v>7.0</v>
      </c>
      <c r="P247" s="13" t="s">
        <v>23</v>
      </c>
      <c r="Q247" s="13" t="s">
        <v>23</v>
      </c>
      <c r="R247" s="13"/>
      <c r="S247" s="13" t="s">
        <v>23</v>
      </c>
      <c r="T247" s="13" t="s">
        <v>23</v>
      </c>
      <c r="U247" s="13" t="s">
        <v>23</v>
      </c>
    </row>
    <row r="248">
      <c r="A248" s="9" t="str">
        <f>HYPERLINK("https://docs.google.com/spreadsheets/d/1LR80O0PvsOvoTuN5gHQd3Rls4b1rZmJd7EZ_DR2oRHs/edit?usp=sharing","Corinne Kaplan")</f>
        <v>Corinne Kaplan</v>
      </c>
      <c r="B248" s="10">
        <v>26.0</v>
      </c>
      <c r="C248" s="10">
        <v>22.0</v>
      </c>
      <c r="D248" s="10">
        <v>8.0</v>
      </c>
      <c r="E248" s="11">
        <v>2.75</v>
      </c>
      <c r="F248" s="12">
        <v>0.0533</v>
      </c>
      <c r="G248" s="10">
        <v>22.0</v>
      </c>
      <c r="H248" s="10">
        <v>3.0</v>
      </c>
      <c r="I248" s="10" t="s">
        <v>9</v>
      </c>
      <c r="J248" s="10" t="s">
        <v>60</v>
      </c>
      <c r="K248" s="10" t="s">
        <v>82</v>
      </c>
      <c r="L248" s="13">
        <v>6.0</v>
      </c>
      <c r="M248" s="13">
        <v>3.0</v>
      </c>
      <c r="N248" s="13" t="s">
        <v>23</v>
      </c>
      <c r="O248" s="13">
        <v>5.0</v>
      </c>
      <c r="P248" s="10" t="s">
        <v>23</v>
      </c>
      <c r="Q248" s="10" t="s">
        <v>23</v>
      </c>
      <c r="R248" s="10"/>
      <c r="S248" s="10" t="s">
        <v>23</v>
      </c>
      <c r="T248" s="10"/>
      <c r="U248" s="10" t="s">
        <v>23</v>
      </c>
    </row>
    <row r="249">
      <c r="A249" s="15" t="str">
        <f>HYPERLINK("https://docs.google.com/spreadsheets/d/1sWOJC8eB6rVdXdWiWMgfbfgw2325jIh1ODKxyaCmSGc/edit?usp=sharing","Amy O'Hara")</f>
        <v>Amy O'Hara</v>
      </c>
      <c r="B249" s="13">
        <v>11.0</v>
      </c>
      <c r="C249" s="13">
        <v>22.0</v>
      </c>
      <c r="D249" s="13">
        <v>7.0</v>
      </c>
      <c r="E249" s="16">
        <v>3.14</v>
      </c>
      <c r="F249" s="17">
        <v>0.0499</v>
      </c>
      <c r="G249" s="13">
        <v>18.0</v>
      </c>
      <c r="H249" s="13">
        <v>1.0</v>
      </c>
      <c r="I249" s="13" t="s">
        <v>42</v>
      </c>
      <c r="J249" s="13" t="s">
        <v>60</v>
      </c>
      <c r="K249" s="13" t="s">
        <v>85</v>
      </c>
      <c r="L249" s="13">
        <v>3.0</v>
      </c>
      <c r="M249" s="13">
        <v>2.0</v>
      </c>
      <c r="N249" s="13" t="s">
        <v>23</v>
      </c>
      <c r="O249" s="13">
        <v>5.0</v>
      </c>
      <c r="P249" s="13" t="s">
        <v>23</v>
      </c>
      <c r="Q249" s="13" t="s">
        <v>23</v>
      </c>
      <c r="R249" s="13"/>
      <c r="S249" s="13" t="s">
        <v>23</v>
      </c>
      <c r="T249" s="13" t="s">
        <v>23</v>
      </c>
      <c r="U249" s="13" t="s">
        <v>23</v>
      </c>
    </row>
    <row r="250">
      <c r="A250" s="9" t="str">
        <f>HYPERLINK("https://docs.google.com/spreadsheets/d/14eN4V4imd53x81UQVckjyAx_2xIFGXJ8NE4XmE1oDkg/edit?usp=sharing","Joel Klug")</f>
        <v>Joel Klug</v>
      </c>
      <c r="B250" s="10">
        <v>1.0</v>
      </c>
      <c r="C250" s="10">
        <v>22.0</v>
      </c>
      <c r="D250" s="10">
        <v>6.0</v>
      </c>
      <c r="E250" s="11">
        <v>3.67</v>
      </c>
      <c r="F250" s="14">
        <v>0.0335</v>
      </c>
      <c r="G250" s="10">
        <v>18.0</v>
      </c>
      <c r="H250" s="10" t="s">
        <v>23</v>
      </c>
      <c r="I250" s="10" t="s">
        <v>42</v>
      </c>
      <c r="J250" s="10" t="s">
        <v>60</v>
      </c>
      <c r="K250" s="10" t="s">
        <v>78</v>
      </c>
      <c r="L250" s="13">
        <v>4.0</v>
      </c>
      <c r="M250" s="13">
        <v>2.0</v>
      </c>
      <c r="N250" s="13" t="s">
        <v>23</v>
      </c>
      <c r="O250" s="13">
        <v>3.0</v>
      </c>
      <c r="P250" s="10" t="s">
        <v>23</v>
      </c>
      <c r="Q250" s="10" t="s">
        <v>23</v>
      </c>
      <c r="R250" s="10"/>
      <c r="S250" s="10" t="s">
        <v>23</v>
      </c>
      <c r="T250" s="10"/>
      <c r="U250" s="10" t="s">
        <v>23</v>
      </c>
    </row>
    <row r="251">
      <c r="A251" s="19" t="str">
        <f>HYPERLINK("https://docs.google.com/spreadsheets/d/1TniiK35-AGMNddj9lkge_tT9QfOGXMfX2thnTv8npTo/edit?usp=sharing","Ghandia Johnson")</f>
        <v>Ghandia Johnson</v>
      </c>
      <c r="B251" s="20">
        <v>5.0</v>
      </c>
      <c r="C251" s="20">
        <v>22.0</v>
      </c>
      <c r="D251" s="20">
        <v>4.0</v>
      </c>
      <c r="E251" s="26">
        <v>5.5</v>
      </c>
      <c r="F251" s="14">
        <v>0.0455</v>
      </c>
      <c r="G251" s="21">
        <v>12.0</v>
      </c>
      <c r="H251" s="21" t="s">
        <v>23</v>
      </c>
      <c r="I251" s="10" t="s">
        <v>42</v>
      </c>
      <c r="J251" s="20" t="s">
        <v>60</v>
      </c>
      <c r="K251" s="20" t="s">
        <v>107</v>
      </c>
      <c r="L251" s="13">
        <v>1.0</v>
      </c>
      <c r="M251" s="13">
        <v>1.0</v>
      </c>
      <c r="N251" s="13" t="s">
        <v>23</v>
      </c>
      <c r="O251" s="13">
        <v>3.0</v>
      </c>
      <c r="P251" s="10" t="s">
        <v>23</v>
      </c>
      <c r="Q251" s="10" t="s">
        <v>23</v>
      </c>
      <c r="R251" s="10"/>
      <c r="S251" s="10" t="s">
        <v>23</v>
      </c>
      <c r="T251" s="10"/>
      <c r="U251" s="10" t="s">
        <v>23</v>
      </c>
    </row>
    <row r="252">
      <c r="A252" s="18" t="s">
        <v>108</v>
      </c>
      <c r="B252" s="13">
        <v>40.0</v>
      </c>
      <c r="C252" s="13">
        <v>22.0</v>
      </c>
      <c r="D252" s="13">
        <v>15.0</v>
      </c>
      <c r="E252" s="16">
        <v>1.47</v>
      </c>
      <c r="F252" s="17">
        <v>0.0384</v>
      </c>
      <c r="G252" s="13" t="s">
        <v>109</v>
      </c>
      <c r="H252" s="13">
        <v>6.0</v>
      </c>
      <c r="I252" s="13" t="s">
        <v>42</v>
      </c>
      <c r="J252" s="13" t="s">
        <v>84</v>
      </c>
      <c r="K252" s="13" t="s">
        <v>110</v>
      </c>
      <c r="L252" s="13">
        <v>1.0</v>
      </c>
      <c r="M252" s="13">
        <v>1.0</v>
      </c>
      <c r="N252" s="13" t="s">
        <v>23</v>
      </c>
      <c r="O252" s="13">
        <v>1.0</v>
      </c>
      <c r="P252" s="13" t="s">
        <v>23</v>
      </c>
      <c r="Q252" s="13" t="s">
        <v>23</v>
      </c>
      <c r="R252" s="13">
        <v>1.0</v>
      </c>
      <c r="S252" s="13" t="s">
        <v>23</v>
      </c>
      <c r="T252" s="13" t="s">
        <v>23</v>
      </c>
      <c r="U252" s="13" t="s">
        <v>23</v>
      </c>
    </row>
    <row r="253">
      <c r="A253" s="9" t="str">
        <f>HYPERLINK("https://docs.google.com/spreadsheets/d/1HA0vQC0CSnQtVc8u58vwNd3sIFCc79SKVqM1abMG1hI/edit?usp=sharing","Sierra Thomas")</f>
        <v>Sierra Thomas</v>
      </c>
      <c r="B253" s="10">
        <v>30.0</v>
      </c>
      <c r="C253" s="10">
        <v>21.0</v>
      </c>
      <c r="D253" s="10">
        <v>14.0</v>
      </c>
      <c r="E253" s="11">
        <v>1.5</v>
      </c>
      <c r="F253" s="12">
        <v>0.046</v>
      </c>
      <c r="G253" s="10">
        <v>37.0</v>
      </c>
      <c r="H253" s="10">
        <v>3.0</v>
      </c>
      <c r="I253" s="10" t="s">
        <v>9</v>
      </c>
      <c r="J253" s="10" t="s">
        <v>24</v>
      </c>
      <c r="K253" s="10" t="s">
        <v>70</v>
      </c>
      <c r="L253" s="13">
        <v>8.0</v>
      </c>
      <c r="M253" s="13">
        <v>4.0</v>
      </c>
      <c r="N253" s="13" t="s">
        <v>23</v>
      </c>
      <c r="O253" s="13">
        <v>10.0</v>
      </c>
      <c r="P253" s="10" t="s">
        <v>23</v>
      </c>
      <c r="Q253" s="10" t="s">
        <v>23</v>
      </c>
      <c r="R253" s="10"/>
      <c r="S253" s="10" t="s">
        <v>23</v>
      </c>
      <c r="T253" s="10"/>
      <c r="U253" s="10" t="s">
        <v>23</v>
      </c>
    </row>
    <row r="254">
      <c r="A254" s="9" t="str">
        <f>HYPERLINK("https://docs.google.com/spreadsheets/d/1LR80O0PvsOvoTuN5gHQd3Rls4b1rZmJd7EZ_DR2oRHs/edit?usp=sharing","Sherri Biethman")</f>
        <v>Sherri Biethman</v>
      </c>
      <c r="B254" s="10">
        <v>26.0</v>
      </c>
      <c r="C254" s="10">
        <v>21.0</v>
      </c>
      <c r="D254" s="10">
        <v>14.0</v>
      </c>
      <c r="E254" s="11">
        <v>1.5</v>
      </c>
      <c r="F254" s="12">
        <v>0.0508</v>
      </c>
      <c r="G254" s="10">
        <v>39.0</v>
      </c>
      <c r="H254" s="10">
        <v>4.0</v>
      </c>
      <c r="I254" s="10" t="s">
        <v>9</v>
      </c>
      <c r="J254" s="10" t="s">
        <v>50</v>
      </c>
      <c r="K254" s="10" t="s">
        <v>53</v>
      </c>
      <c r="L254" s="13">
        <v>4.0</v>
      </c>
      <c r="M254" s="13">
        <v>4.0</v>
      </c>
      <c r="N254" s="13" t="s">
        <v>23</v>
      </c>
      <c r="O254" s="13">
        <v>12.0</v>
      </c>
      <c r="P254" s="10" t="s">
        <v>23</v>
      </c>
      <c r="Q254" s="10" t="s">
        <v>23</v>
      </c>
      <c r="R254" s="10"/>
      <c r="S254" s="10" t="s">
        <v>23</v>
      </c>
      <c r="T254" s="10"/>
      <c r="U254" s="10" t="s">
        <v>23</v>
      </c>
    </row>
    <row r="255">
      <c r="A255" s="15" t="str">
        <f>HYPERLINK("https://docs.google.com/spreadsheets/d/1sWOJC8eB6rVdXdWiWMgfbfgw2325jIh1ODKxyaCmSGc/edit?usp=sharing","Lydia Morales")</f>
        <v>Lydia Morales</v>
      </c>
      <c r="B255" s="13">
        <v>11.0</v>
      </c>
      <c r="C255" s="13">
        <v>21.0</v>
      </c>
      <c r="D255" s="13">
        <v>14.0</v>
      </c>
      <c r="E255" s="16">
        <v>1.5</v>
      </c>
      <c r="F255" s="17">
        <v>0.0476</v>
      </c>
      <c r="G255" s="13">
        <v>37.0</v>
      </c>
      <c r="H255" s="13">
        <v>5.0</v>
      </c>
      <c r="I255" s="13" t="s">
        <v>9</v>
      </c>
      <c r="J255" s="13" t="s">
        <v>37</v>
      </c>
      <c r="K255" s="13" t="s">
        <v>41</v>
      </c>
      <c r="L255" s="13">
        <v>3.0</v>
      </c>
      <c r="M255" s="13">
        <v>3.0</v>
      </c>
      <c r="N255" s="13" t="s">
        <v>23</v>
      </c>
      <c r="O255" s="13">
        <v>11.0</v>
      </c>
      <c r="P255" s="13" t="s">
        <v>23</v>
      </c>
      <c r="Q255" s="13" t="s">
        <v>23</v>
      </c>
      <c r="R255" s="13"/>
      <c r="S255" s="13" t="s">
        <v>23</v>
      </c>
      <c r="T255" s="13" t="s">
        <v>23</v>
      </c>
      <c r="U255" s="13" t="s">
        <v>23</v>
      </c>
    </row>
    <row r="256">
      <c r="A256" s="9" t="str">
        <f>HYPERLINK("https://docs.google.com/spreadsheets/d/1X-5lK1sJCBpvE08rC1VdSsGvayqyrC62cK7W45Q4XX8/edit?usp=sharing","Katie Collins")</f>
        <v>Katie Collins</v>
      </c>
      <c r="B256" s="10">
        <v>27.0</v>
      </c>
      <c r="C256" s="10">
        <v>21.0</v>
      </c>
      <c r="D256" s="10">
        <v>13.0</v>
      </c>
      <c r="E256" s="11">
        <v>1.62</v>
      </c>
      <c r="F256" s="12">
        <v>0.0485</v>
      </c>
      <c r="G256" s="10">
        <v>33.0</v>
      </c>
      <c r="H256" s="10">
        <v>4.0</v>
      </c>
      <c r="I256" s="10" t="s">
        <v>9</v>
      </c>
      <c r="J256" s="10" t="s">
        <v>58</v>
      </c>
      <c r="K256" s="10" t="s">
        <v>71</v>
      </c>
      <c r="L256" s="13">
        <v>3.0</v>
      </c>
      <c r="M256" s="13">
        <v>1.0</v>
      </c>
      <c r="N256" s="13">
        <v>1.0</v>
      </c>
      <c r="O256" s="13">
        <v>12.0</v>
      </c>
      <c r="P256" s="13" t="s">
        <v>23</v>
      </c>
      <c r="Q256" s="13">
        <v>1.0</v>
      </c>
      <c r="R256" s="13"/>
      <c r="S256" s="10" t="s">
        <v>23</v>
      </c>
      <c r="T256" s="10"/>
      <c r="U256" s="10" t="s">
        <v>23</v>
      </c>
    </row>
    <row r="257">
      <c r="A257" s="15" t="str">
        <f>HYPERLINK("https://docs.google.com/spreadsheets/d/1t379i2CYDM1ZVdZZy_Nj2m3ht6Sp4J68-xZ2v4-PIMo/edit?usp=sharing","Joe Del Campo")</f>
        <v>Joe Del Campo</v>
      </c>
      <c r="B257" s="13">
        <v>32.0</v>
      </c>
      <c r="C257" s="13">
        <v>21.0</v>
      </c>
      <c r="D257" s="13">
        <v>13.0</v>
      </c>
      <c r="E257" s="16">
        <v>1.62</v>
      </c>
      <c r="F257" s="17">
        <v>0.0425</v>
      </c>
      <c r="G257" s="13">
        <v>34.0</v>
      </c>
      <c r="H257" s="13">
        <v>5.0</v>
      </c>
      <c r="I257" s="13" t="s">
        <v>9</v>
      </c>
      <c r="J257" s="13" t="s">
        <v>24</v>
      </c>
      <c r="K257" s="13" t="s">
        <v>70</v>
      </c>
      <c r="L257" s="13">
        <v>6.0</v>
      </c>
      <c r="M257" s="13">
        <v>3.0</v>
      </c>
      <c r="N257" s="13" t="s">
        <v>23</v>
      </c>
      <c r="O257" s="13">
        <v>8.0</v>
      </c>
      <c r="P257" s="13" t="s">
        <v>23</v>
      </c>
      <c r="Q257" s="13" t="s">
        <v>23</v>
      </c>
      <c r="R257" s="13"/>
      <c r="S257" s="13" t="s">
        <v>23</v>
      </c>
      <c r="T257" s="13"/>
      <c r="U257" s="13" t="s">
        <v>92</v>
      </c>
    </row>
    <row r="258">
      <c r="A258" s="9" t="str">
        <f>HYPERLINK("https://docs.google.com/spreadsheets/d/1ReMaq-fM8zzflOjjrMrgnxEsdZxPIPIJqiZ9cCLO3cE/edit?usp=sharing","Pete Yurkowski")</f>
        <v>Pete Yurkowski</v>
      </c>
      <c r="B258" s="10">
        <v>25.0</v>
      </c>
      <c r="C258" s="10">
        <v>21.0</v>
      </c>
      <c r="D258" s="10">
        <v>10.0</v>
      </c>
      <c r="E258" s="11">
        <v>2.1</v>
      </c>
      <c r="F258" s="12">
        <v>0.0483</v>
      </c>
      <c r="G258" s="10">
        <v>27.0</v>
      </c>
      <c r="H258" s="10">
        <v>1.0</v>
      </c>
      <c r="I258" s="10" t="s">
        <v>9</v>
      </c>
      <c r="J258" s="10" t="s">
        <v>58</v>
      </c>
      <c r="K258" s="10" t="s">
        <v>47</v>
      </c>
      <c r="L258" s="13">
        <v>7.0</v>
      </c>
      <c r="M258" s="13">
        <v>6.0</v>
      </c>
      <c r="N258" s="13" t="s">
        <v>23</v>
      </c>
      <c r="O258" s="13">
        <v>4.0</v>
      </c>
      <c r="P258" s="10" t="s">
        <v>23</v>
      </c>
      <c r="Q258" s="10" t="s">
        <v>23</v>
      </c>
      <c r="R258" s="10"/>
      <c r="S258" s="10" t="s">
        <v>23</v>
      </c>
      <c r="T258" s="10"/>
      <c r="U258" s="10" t="s">
        <v>23</v>
      </c>
    </row>
    <row r="259">
      <c r="A259" s="15" t="str">
        <f>HYPERLINK("https://docs.google.com/spreadsheets/d/1VEbyebFdBtPJKQC_U2uGrW6_v1fn6Hsoz3YYLyCxHR0/edit?usp=sharing","Bruce Kanegai")</f>
        <v>Bruce Kanegai</v>
      </c>
      <c r="B259" s="13">
        <v>12.0</v>
      </c>
      <c r="C259" s="13">
        <v>21.0</v>
      </c>
      <c r="D259" s="13">
        <v>10.0</v>
      </c>
      <c r="E259" s="16">
        <v>2.1</v>
      </c>
      <c r="F259" s="17">
        <v>0.0347</v>
      </c>
      <c r="G259" s="13">
        <v>25.0</v>
      </c>
      <c r="H259" s="13">
        <v>2.0</v>
      </c>
      <c r="I259" s="13" t="s">
        <v>9</v>
      </c>
      <c r="J259" s="13" t="s">
        <v>43</v>
      </c>
      <c r="K259" s="13" t="s">
        <v>57</v>
      </c>
      <c r="L259" s="13">
        <v>7.0</v>
      </c>
      <c r="M259" s="13">
        <v>4.0</v>
      </c>
      <c r="N259" s="13">
        <v>1.0</v>
      </c>
      <c r="O259" s="13">
        <v>4.0</v>
      </c>
      <c r="P259" s="13">
        <v>2.0</v>
      </c>
      <c r="Q259" s="13" t="s">
        <v>23</v>
      </c>
      <c r="R259" s="13"/>
      <c r="S259" s="13" t="s">
        <v>23</v>
      </c>
      <c r="T259" s="13" t="s">
        <v>23</v>
      </c>
      <c r="U259" s="13" t="s">
        <v>92</v>
      </c>
    </row>
    <row r="260">
      <c r="A260" s="19" t="str">
        <f>HYPERLINK("https://docs.google.com/spreadsheets/d/1TniiK35-AGMNddj9lkge_tT9QfOGXMfX2thnTv8npTo/edit?usp=sharing","Ken Stafford")</f>
        <v>Ken Stafford</v>
      </c>
      <c r="B260" s="20">
        <v>5.0</v>
      </c>
      <c r="C260" s="21">
        <v>21.0</v>
      </c>
      <c r="D260" s="20">
        <v>9.0</v>
      </c>
      <c r="E260" s="22">
        <v>2.33</v>
      </c>
      <c r="F260" s="14">
        <v>0.0435</v>
      </c>
      <c r="G260" s="21">
        <v>27.0</v>
      </c>
      <c r="H260" s="21">
        <v>1.0</v>
      </c>
      <c r="I260" s="10" t="s">
        <v>9</v>
      </c>
      <c r="J260" s="21" t="s">
        <v>48</v>
      </c>
      <c r="K260" s="20" t="s">
        <v>49</v>
      </c>
      <c r="L260" s="13">
        <v>5.0</v>
      </c>
      <c r="M260" s="13">
        <v>3.0</v>
      </c>
      <c r="N260" s="13" t="s">
        <v>23</v>
      </c>
      <c r="O260" s="13">
        <v>6.0</v>
      </c>
      <c r="P260" s="10" t="s">
        <v>23</v>
      </c>
      <c r="Q260" s="10" t="s">
        <v>23</v>
      </c>
      <c r="R260" s="10"/>
      <c r="S260" s="10" t="s">
        <v>23</v>
      </c>
      <c r="T260" s="10"/>
      <c r="U260" s="10" t="s">
        <v>23</v>
      </c>
    </row>
    <row r="261">
      <c r="A261" s="15" t="str">
        <f>HYPERLINK("https://docs.google.com/spreadsheets/d/1q-5bbq9txg93Y0eUACxRPTIN5PuRjeDVpNDfeXEw4iE/edit?usp=sharing","Cole Medders")</f>
        <v>Cole Medders</v>
      </c>
      <c r="B261" s="13">
        <v>35.0</v>
      </c>
      <c r="C261" s="13">
        <v>21.0</v>
      </c>
      <c r="D261" s="13">
        <v>9.0</v>
      </c>
      <c r="E261" s="16">
        <v>2.33</v>
      </c>
      <c r="F261" s="17">
        <v>0.0487</v>
      </c>
      <c r="G261" s="13">
        <v>24.0</v>
      </c>
      <c r="H261" s="13">
        <v>2.0</v>
      </c>
      <c r="I261" s="13" t="s">
        <v>9</v>
      </c>
      <c r="J261" s="13" t="s">
        <v>48</v>
      </c>
      <c r="K261" s="13" t="s">
        <v>68</v>
      </c>
      <c r="L261" s="13">
        <v>9.0</v>
      </c>
      <c r="M261" s="13">
        <v>6.0</v>
      </c>
      <c r="N261" s="13">
        <v>1.0</v>
      </c>
      <c r="O261" s="13">
        <v>3.0</v>
      </c>
      <c r="P261" s="13" t="s">
        <v>23</v>
      </c>
      <c r="Q261" s="13" t="s">
        <v>23</v>
      </c>
      <c r="R261" s="13"/>
      <c r="S261" s="13" t="s">
        <v>23</v>
      </c>
      <c r="T261" s="13" t="s">
        <v>23</v>
      </c>
      <c r="U261" s="13" t="s">
        <v>23</v>
      </c>
    </row>
    <row r="262">
      <c r="A262" s="9" t="str">
        <f>HYPERLINK("https://docs.google.com/spreadsheets/d/1hg_GT4r2smQsgkwEYBqHOukVavnNSyncsyfceWDpOho/edit?usp=sharing","Ethan Zohn")</f>
        <v>Ethan Zohn</v>
      </c>
      <c r="B262" s="10">
        <v>8.0</v>
      </c>
      <c r="C262" s="10">
        <v>21.0</v>
      </c>
      <c r="D262" s="10">
        <v>8.0</v>
      </c>
      <c r="E262" s="11">
        <v>2.63</v>
      </c>
      <c r="F262" s="12">
        <v>0.0414</v>
      </c>
      <c r="G262" s="10">
        <v>21.0</v>
      </c>
      <c r="H262" s="10" t="s">
        <v>23</v>
      </c>
      <c r="I262" s="10" t="s">
        <v>42</v>
      </c>
      <c r="J262" s="10" t="s">
        <v>60</v>
      </c>
      <c r="K262" s="10" t="s">
        <v>85</v>
      </c>
      <c r="L262" s="13">
        <v>3.0</v>
      </c>
      <c r="M262" s="13">
        <v>1.0</v>
      </c>
      <c r="N262" s="13" t="s">
        <v>23</v>
      </c>
      <c r="O262" s="13">
        <v>5.0</v>
      </c>
      <c r="P262" s="10" t="s">
        <v>23</v>
      </c>
      <c r="Q262" s="10" t="s">
        <v>23</v>
      </c>
      <c r="R262" s="10"/>
      <c r="S262" s="10" t="s">
        <v>23</v>
      </c>
      <c r="T262" s="10"/>
      <c r="U262" s="10" t="s">
        <v>23</v>
      </c>
    </row>
    <row r="263">
      <c r="A263" s="9" t="str">
        <f>HYPERLINK("https://docs.google.com/spreadsheets/d/1ReMaq-fM8zzflOjjrMrgnxEsdZxPIPIJqiZ9cCLO3cE/edit?usp=sharing","RC Saint-Amour")</f>
        <v>RC Saint-Amour</v>
      </c>
      <c r="B263" s="10">
        <v>25.0</v>
      </c>
      <c r="C263" s="10">
        <v>21.0</v>
      </c>
      <c r="D263" s="10">
        <v>7.0</v>
      </c>
      <c r="E263" s="11">
        <v>3.0</v>
      </c>
      <c r="F263" s="12">
        <v>0.0483</v>
      </c>
      <c r="G263" s="10">
        <v>19.0</v>
      </c>
      <c r="H263" s="10" t="s">
        <v>23</v>
      </c>
      <c r="I263" s="10" t="s">
        <v>9</v>
      </c>
      <c r="J263" s="10" t="s">
        <v>84</v>
      </c>
      <c r="K263" s="10" t="s">
        <v>85</v>
      </c>
      <c r="L263" s="13">
        <v>6.0</v>
      </c>
      <c r="M263" s="13">
        <v>6.0</v>
      </c>
      <c r="N263" s="13" t="s">
        <v>23</v>
      </c>
      <c r="O263" s="13">
        <v>1.0</v>
      </c>
      <c r="P263" s="10" t="s">
        <v>23</v>
      </c>
      <c r="Q263" s="10" t="s">
        <v>23</v>
      </c>
      <c r="R263" s="10"/>
      <c r="S263" s="10" t="s">
        <v>23</v>
      </c>
      <c r="T263" s="10"/>
      <c r="U263" s="10" t="s">
        <v>23</v>
      </c>
    </row>
    <row r="264">
      <c r="A264" s="15" t="str">
        <f>HYPERLINK("https://docs.google.com/spreadsheets/d/1tElnwN2HVf964gGw8Ei53RyfjarS40wkDY3zivAPWp0/edit?usp=sharing","Jeff Varner")</f>
        <v>Jeff Varner</v>
      </c>
      <c r="B264" s="13">
        <v>34.0</v>
      </c>
      <c r="C264" s="13">
        <v>21.0</v>
      </c>
      <c r="D264" s="13">
        <v>7.0</v>
      </c>
      <c r="E264" s="16">
        <v>3.0</v>
      </c>
      <c r="F264" s="17">
        <v>0.051</v>
      </c>
      <c r="G264" s="13">
        <v>18.0</v>
      </c>
      <c r="H264" s="13" t="s">
        <v>23</v>
      </c>
      <c r="I264" s="13" t="s">
        <v>42</v>
      </c>
      <c r="J264" s="13" t="s">
        <v>60</v>
      </c>
      <c r="K264" s="13" t="s">
        <v>111</v>
      </c>
      <c r="L264" s="13">
        <v>4.0</v>
      </c>
      <c r="M264" s="13">
        <v>1.0</v>
      </c>
      <c r="N264" s="13" t="s">
        <v>23</v>
      </c>
      <c r="O264" s="13">
        <v>6.0</v>
      </c>
      <c r="P264" s="13" t="s">
        <v>23</v>
      </c>
      <c r="Q264" s="13" t="s">
        <v>23</v>
      </c>
      <c r="R264" s="13"/>
      <c r="S264" s="13" t="s">
        <v>23</v>
      </c>
      <c r="T264" s="13" t="s">
        <v>23</v>
      </c>
      <c r="U264" s="13" t="s">
        <v>23</v>
      </c>
    </row>
    <row r="265">
      <c r="A265" s="9" t="str">
        <f>HYPERLINK("https://docs.google.com/spreadsheets/d/1hg_GT4r2smQsgkwEYBqHOukVavnNSyncsyfceWDpOho/edit?usp=sharing","Colby Donaldson")</f>
        <v>Colby Donaldson</v>
      </c>
      <c r="B265" s="10">
        <v>8.0</v>
      </c>
      <c r="C265" s="10">
        <v>21.0</v>
      </c>
      <c r="D265" s="10">
        <v>7.0</v>
      </c>
      <c r="E265" s="11">
        <v>3.0</v>
      </c>
      <c r="F265" s="12">
        <v>0.0414</v>
      </c>
      <c r="G265" s="10">
        <v>19.0</v>
      </c>
      <c r="H265" s="10">
        <v>1.0</v>
      </c>
      <c r="I265" s="10" t="s">
        <v>42</v>
      </c>
      <c r="J265" s="10" t="s">
        <v>60</v>
      </c>
      <c r="K265" s="10" t="s">
        <v>105</v>
      </c>
      <c r="L265" s="13">
        <v>4.0</v>
      </c>
      <c r="M265" s="13">
        <v>3.0</v>
      </c>
      <c r="N265" s="13" t="s">
        <v>23</v>
      </c>
      <c r="O265" s="13">
        <v>2.0</v>
      </c>
      <c r="P265" s="10" t="s">
        <v>23</v>
      </c>
      <c r="Q265" s="10" t="s">
        <v>23</v>
      </c>
      <c r="R265" s="10"/>
      <c r="S265" s="10" t="s">
        <v>23</v>
      </c>
      <c r="T265" s="10"/>
      <c r="U265" s="10" t="s">
        <v>23</v>
      </c>
    </row>
    <row r="266">
      <c r="A266" s="15" t="str">
        <f>HYPERLINK("https://docs.google.com/spreadsheets/d/1tElnwN2HVf964gGw8Ei53RyfjarS40wkDY3zivAPWp0/edit?usp=sharing","Sandra Diaz-Twine")</f>
        <v>Sandra Diaz-Twine</v>
      </c>
      <c r="B266" s="13">
        <v>34.0</v>
      </c>
      <c r="C266" s="13">
        <v>21.0</v>
      </c>
      <c r="D266" s="13">
        <v>6.0</v>
      </c>
      <c r="E266" s="16">
        <v>3.5</v>
      </c>
      <c r="F266" s="17">
        <v>0.051</v>
      </c>
      <c r="G266" s="13">
        <v>16.0</v>
      </c>
      <c r="H266" s="13" t="s">
        <v>23</v>
      </c>
      <c r="I266" s="13" t="s">
        <v>42</v>
      </c>
      <c r="J266" s="13" t="s">
        <v>60</v>
      </c>
      <c r="K266" s="13" t="s">
        <v>112</v>
      </c>
      <c r="L266" s="13">
        <v>3.0</v>
      </c>
      <c r="M266" s="13">
        <v>1.0</v>
      </c>
      <c r="N266" s="13" t="s">
        <v>23</v>
      </c>
      <c r="O266" s="13">
        <v>5.0</v>
      </c>
      <c r="P266" s="13" t="s">
        <v>23</v>
      </c>
      <c r="Q266" s="13" t="s">
        <v>23</v>
      </c>
      <c r="R266" s="13"/>
      <c r="S266" s="13" t="s">
        <v>23</v>
      </c>
      <c r="T266" s="13" t="s">
        <v>23</v>
      </c>
      <c r="U266" s="13" t="s">
        <v>23</v>
      </c>
    </row>
    <row r="267">
      <c r="A267" s="9" t="str">
        <f>HYPERLINK("https://docs.google.com/spreadsheets/d/18wmIvmUS3SeZNSPQeUzr6sPl9GBYpVSlOaFR_kJCmKo/edit?usp=sharing","Michael Skupin")</f>
        <v>Michael Skupin</v>
      </c>
      <c r="B267" s="10">
        <v>2.0</v>
      </c>
      <c r="C267" s="10">
        <v>21.0</v>
      </c>
      <c r="D267" s="10">
        <v>6.0</v>
      </c>
      <c r="E267" s="11">
        <v>3.5</v>
      </c>
      <c r="F267" s="12">
        <v>0.0374</v>
      </c>
      <c r="G267" s="10">
        <v>17.0</v>
      </c>
      <c r="H267" s="10" t="s">
        <v>23</v>
      </c>
      <c r="I267" s="10" t="s">
        <v>42</v>
      </c>
      <c r="J267" s="10" t="s">
        <v>60</v>
      </c>
      <c r="K267" s="10" t="s">
        <v>78</v>
      </c>
      <c r="L267" s="13">
        <v>3.0</v>
      </c>
      <c r="M267" s="13">
        <v>3.0</v>
      </c>
      <c r="N267" s="13" t="s">
        <v>23</v>
      </c>
      <c r="O267" s="13">
        <v>2.0</v>
      </c>
      <c r="P267" s="10" t="s">
        <v>23</v>
      </c>
      <c r="Q267" s="10" t="s">
        <v>23</v>
      </c>
      <c r="R267" s="10"/>
      <c r="S267" s="10" t="s">
        <v>23</v>
      </c>
      <c r="T267" s="10"/>
      <c r="U267" s="10" t="s">
        <v>92</v>
      </c>
    </row>
    <row r="268">
      <c r="A268" s="15" t="str">
        <f>HYPERLINK("https://docs.google.com/spreadsheets/d/1sWOJC8eB6rVdXdWiWMgfbfgw2325jIh1ODKxyaCmSGc/edit?usp=sharing","Margaret Bobonich")</f>
        <v>Margaret Bobonich</v>
      </c>
      <c r="B268" s="13">
        <v>11.0</v>
      </c>
      <c r="C268" s="13">
        <v>21.0</v>
      </c>
      <c r="D268" s="13">
        <v>6.0</v>
      </c>
      <c r="E268" s="16">
        <v>3.5</v>
      </c>
      <c r="F268" s="17">
        <v>0.0476</v>
      </c>
      <c r="G268" s="13">
        <v>15.0</v>
      </c>
      <c r="H268" s="13" t="s">
        <v>23</v>
      </c>
      <c r="I268" s="13" t="s">
        <v>42</v>
      </c>
      <c r="J268" s="13" t="s">
        <v>60</v>
      </c>
      <c r="K268" s="13" t="s">
        <v>91</v>
      </c>
      <c r="L268" s="13">
        <v>5.0</v>
      </c>
      <c r="M268" s="13">
        <v>3.0</v>
      </c>
      <c r="N268" s="13" t="s">
        <v>23</v>
      </c>
      <c r="O268" s="13">
        <v>3.0</v>
      </c>
      <c r="P268" s="13" t="s">
        <v>23</v>
      </c>
      <c r="Q268" s="13" t="s">
        <v>23</v>
      </c>
      <c r="R268" s="13"/>
      <c r="S268" s="13" t="s">
        <v>23</v>
      </c>
      <c r="T268" s="13" t="s">
        <v>23</v>
      </c>
      <c r="U268" s="13" t="s">
        <v>23</v>
      </c>
    </row>
    <row r="269">
      <c r="A269" s="9" t="str">
        <f>HYPERLINK("https://docs.google.com/spreadsheets/d/1ReMaq-fM8zzflOjjrMrgnxEsdZxPIPIJqiZ9cCLO3cE/edit?usp=sharing","Russell Swan")</f>
        <v>Russell Swan</v>
      </c>
      <c r="B269" s="10">
        <v>25.0</v>
      </c>
      <c r="C269" s="10">
        <v>21.0</v>
      </c>
      <c r="D269" s="10">
        <v>4.0</v>
      </c>
      <c r="E269" s="11">
        <v>5.25</v>
      </c>
      <c r="F269" s="12">
        <v>0.0483</v>
      </c>
      <c r="G269" s="10">
        <v>10.0</v>
      </c>
      <c r="H269" s="10" t="s">
        <v>23</v>
      </c>
      <c r="I269" s="10" t="s">
        <v>42</v>
      </c>
      <c r="J269" s="10" t="s">
        <v>60</v>
      </c>
      <c r="K269" s="10" t="s">
        <v>113</v>
      </c>
      <c r="L269" s="13" t="s">
        <v>23</v>
      </c>
      <c r="M269" s="13" t="s">
        <v>23</v>
      </c>
      <c r="N269" s="13" t="s">
        <v>23</v>
      </c>
      <c r="O269" s="13">
        <v>4.0</v>
      </c>
      <c r="P269" s="10" t="s">
        <v>23</v>
      </c>
      <c r="Q269" s="10" t="s">
        <v>23</v>
      </c>
      <c r="R269" s="10"/>
      <c r="S269" s="10" t="s">
        <v>23</v>
      </c>
      <c r="T269" s="10"/>
      <c r="U269" s="10" t="s">
        <v>23</v>
      </c>
    </row>
    <row r="270">
      <c r="A270" s="9" t="str">
        <f>HYPERLINK("https://docs.google.com/spreadsheets/d/1X-5lK1sJCBpvE08rC1VdSsGvayqyrC62cK7W45Q4XX8/edit?usp=sharing","Laura Morett")</f>
        <v>Laura Morett</v>
      </c>
      <c r="B270" s="10">
        <v>27.0</v>
      </c>
      <c r="C270" s="10">
        <v>20.0</v>
      </c>
      <c r="D270" s="10">
        <v>14.0</v>
      </c>
      <c r="E270" s="11">
        <v>1.43</v>
      </c>
      <c r="F270" s="12">
        <v>0.0462</v>
      </c>
      <c r="G270" s="10">
        <v>36.0</v>
      </c>
      <c r="H270" s="10">
        <v>6.0</v>
      </c>
      <c r="I270" s="10" t="s">
        <v>9</v>
      </c>
      <c r="J270" s="10" t="s">
        <v>37</v>
      </c>
      <c r="K270" s="10" t="s">
        <v>65</v>
      </c>
      <c r="L270" s="13">
        <v>6.0</v>
      </c>
      <c r="M270" s="13">
        <v>4.0</v>
      </c>
      <c r="N270" s="13" t="s">
        <v>23</v>
      </c>
      <c r="O270" s="13">
        <v>5.0</v>
      </c>
      <c r="P270" s="13" t="s">
        <v>23</v>
      </c>
      <c r="Q270" s="13">
        <v>2.0</v>
      </c>
      <c r="R270" s="13"/>
      <c r="S270" s="10" t="s">
        <v>23</v>
      </c>
      <c r="T270" s="10"/>
      <c r="U270" s="10" t="s">
        <v>23</v>
      </c>
    </row>
    <row r="271">
      <c r="A271" s="15" t="str">
        <f>HYPERLINK("https://docs.google.com/spreadsheets/d/1tElnwN2HVf964gGw8Ei53RyfjarS40wkDY3zivAPWp0/edit?usp=sharing","Aubry Bracco")</f>
        <v>Aubry Bracco</v>
      </c>
      <c r="B271" s="13">
        <v>34.0</v>
      </c>
      <c r="C271" s="13">
        <v>20.0</v>
      </c>
      <c r="D271" s="13">
        <v>14.0</v>
      </c>
      <c r="E271" s="16">
        <v>1.43</v>
      </c>
      <c r="F271" s="17">
        <v>0.0485</v>
      </c>
      <c r="G271" s="13">
        <v>37.0</v>
      </c>
      <c r="H271" s="13">
        <v>2.0</v>
      </c>
      <c r="I271" s="13" t="s">
        <v>9</v>
      </c>
      <c r="J271" s="13" t="s">
        <v>45</v>
      </c>
      <c r="K271" s="13" t="s">
        <v>67</v>
      </c>
      <c r="L271" s="13">
        <v>7.0</v>
      </c>
      <c r="M271" s="13">
        <v>3.0</v>
      </c>
      <c r="N271" s="13">
        <v>1.0</v>
      </c>
      <c r="O271" s="13">
        <v>13.0</v>
      </c>
      <c r="P271" s="13" t="s">
        <v>23</v>
      </c>
      <c r="Q271" s="13" t="s">
        <v>23</v>
      </c>
      <c r="R271" s="13"/>
      <c r="S271" s="13" t="s">
        <v>23</v>
      </c>
      <c r="T271" s="13" t="s">
        <v>23</v>
      </c>
      <c r="U271" s="13" t="s">
        <v>23</v>
      </c>
    </row>
    <row r="272">
      <c r="A272" s="9" t="str">
        <f>HYPERLINK("https://docs.google.com/spreadsheets/d/1CcEdjXKuhm6HmXecNbnscxpFab1HRQEjKSDga6QxqAU/edit?usp=sharing","Ralph Kiser")</f>
        <v>Ralph Kiser</v>
      </c>
      <c r="B272" s="10">
        <v>22.0</v>
      </c>
      <c r="C272" s="10">
        <v>20.0</v>
      </c>
      <c r="D272" s="10">
        <v>13.0</v>
      </c>
      <c r="E272" s="11">
        <v>1.54</v>
      </c>
      <c r="F272" s="12">
        <v>0.0472</v>
      </c>
      <c r="G272" s="10">
        <v>33.0</v>
      </c>
      <c r="H272" s="10">
        <v>3.0</v>
      </c>
      <c r="I272" s="10" t="s">
        <v>9</v>
      </c>
      <c r="J272" s="10" t="s">
        <v>58</v>
      </c>
      <c r="K272" s="10" t="s">
        <v>83</v>
      </c>
      <c r="L272" s="13">
        <v>4.0</v>
      </c>
      <c r="M272" s="13">
        <v>3.0</v>
      </c>
      <c r="N272" s="13" t="s">
        <v>23</v>
      </c>
      <c r="O272" s="13">
        <v>9.0</v>
      </c>
      <c r="P272" s="13" t="s">
        <v>23</v>
      </c>
      <c r="Q272" s="13">
        <v>1.0</v>
      </c>
      <c r="R272" s="13"/>
      <c r="S272" s="10">
        <v>1.0</v>
      </c>
      <c r="T272" s="10"/>
      <c r="U272" s="10" t="s">
        <v>23</v>
      </c>
    </row>
    <row r="273">
      <c r="A273" s="9" t="str">
        <f>HYPERLINK("https://docs.google.com/spreadsheets/d/1nYlVL4RxK2ZUH-a4MfKCalHyEjDRWz2ZumhyoaYsjTE/edit?usp=sharing","Benjamin ""Benry"" Henry")</f>
        <v>Benjamin "Benry" Henry</v>
      </c>
      <c r="B273" s="10">
        <v>21.0</v>
      </c>
      <c r="C273" s="10">
        <v>20.0</v>
      </c>
      <c r="D273" s="10">
        <v>12.0</v>
      </c>
      <c r="E273" s="11">
        <v>1.67</v>
      </c>
      <c r="F273" s="12">
        <v>0.0481</v>
      </c>
      <c r="G273" s="10">
        <v>32.0</v>
      </c>
      <c r="H273" s="10">
        <v>5.0</v>
      </c>
      <c r="I273" s="10" t="s">
        <v>9</v>
      </c>
      <c r="J273" s="10" t="s">
        <v>37</v>
      </c>
      <c r="K273" s="10" t="s">
        <v>44</v>
      </c>
      <c r="L273" s="13">
        <v>8.0</v>
      </c>
      <c r="M273" s="13">
        <v>4.0</v>
      </c>
      <c r="N273" s="13" t="s">
        <v>23</v>
      </c>
      <c r="O273" s="13">
        <v>7.0</v>
      </c>
      <c r="P273" s="10" t="s">
        <v>23</v>
      </c>
      <c r="Q273" s="10" t="s">
        <v>23</v>
      </c>
      <c r="R273" s="10"/>
      <c r="S273" s="10" t="s">
        <v>23</v>
      </c>
      <c r="T273" s="10"/>
      <c r="U273" s="10" t="s">
        <v>23</v>
      </c>
    </row>
    <row r="274">
      <c r="A274" s="9" t="str">
        <f>HYPERLINK("https://docs.google.com/spreadsheets/d/1X-5lK1sJCBpvE08rC1VdSsGvayqyrC62cK7W45Q4XX8/edit?usp=sharing","Aras Baskauskas")</f>
        <v>Aras Baskauskas</v>
      </c>
      <c r="B274" s="10">
        <v>27.0</v>
      </c>
      <c r="C274" s="10">
        <v>20.0</v>
      </c>
      <c r="D274" s="10">
        <v>10.0</v>
      </c>
      <c r="E274" s="11">
        <v>2.0</v>
      </c>
      <c r="F274" s="12">
        <v>0.0462</v>
      </c>
      <c r="G274" s="10">
        <v>25.0</v>
      </c>
      <c r="H274" s="10">
        <v>1.0</v>
      </c>
      <c r="I274" s="10" t="s">
        <v>9</v>
      </c>
      <c r="J274" s="10" t="s">
        <v>84</v>
      </c>
      <c r="K274" s="10" t="s">
        <v>69</v>
      </c>
      <c r="L274" s="13">
        <v>7.0</v>
      </c>
      <c r="M274" s="13">
        <v>6.0</v>
      </c>
      <c r="N274" s="13" t="s">
        <v>23</v>
      </c>
      <c r="O274" s="13">
        <v>2.0</v>
      </c>
      <c r="P274" s="13" t="s">
        <v>23</v>
      </c>
      <c r="Q274" s="13">
        <v>1.0</v>
      </c>
      <c r="R274" s="13"/>
      <c r="S274" s="10" t="s">
        <v>23</v>
      </c>
      <c r="T274" s="10"/>
      <c r="U274" s="10" t="s">
        <v>23</v>
      </c>
    </row>
    <row r="275">
      <c r="A275" s="9" t="str">
        <f>HYPERLINK("https://docs.google.com/spreadsheets/d/1X-5lK1sJCBpvE08rC1VdSsGvayqyrC62cK7W45Q4XX8/edit?usp=sharing","John Cody")</f>
        <v>John Cody</v>
      </c>
      <c r="B275" s="10">
        <v>27.0</v>
      </c>
      <c r="C275" s="10">
        <v>20.0</v>
      </c>
      <c r="D275" s="10">
        <v>8.0</v>
      </c>
      <c r="E275" s="11">
        <v>2.5</v>
      </c>
      <c r="F275" s="12">
        <v>0.0462</v>
      </c>
      <c r="G275" s="10">
        <v>19.0</v>
      </c>
      <c r="H275" s="10">
        <v>2.0</v>
      </c>
      <c r="I275" s="10" t="s">
        <v>42</v>
      </c>
      <c r="J275" s="10" t="s">
        <v>60</v>
      </c>
      <c r="K275" s="10" t="s">
        <v>100</v>
      </c>
      <c r="L275" s="13" t="s">
        <v>23</v>
      </c>
      <c r="M275" s="13" t="s">
        <v>23</v>
      </c>
      <c r="N275" s="13" t="s">
        <v>23</v>
      </c>
      <c r="O275" s="13">
        <v>3.0</v>
      </c>
      <c r="P275" s="13" t="s">
        <v>23</v>
      </c>
      <c r="Q275" s="13">
        <v>1.0</v>
      </c>
      <c r="R275" s="13"/>
      <c r="S275" s="10" t="s">
        <v>23</v>
      </c>
      <c r="T275" s="10"/>
      <c r="U275" s="10" t="s">
        <v>23</v>
      </c>
    </row>
    <row r="276">
      <c r="A276" s="9" t="str">
        <f>HYPERLINK("https://docs.google.com/spreadsheets/d/1tPYt5CqjX32YXnh0BRsechvszEP2n4_ePabpiRTSzqE/edit?usp=sharing","Shawn Cohen")</f>
        <v>Shawn Cohen</v>
      </c>
      <c r="B276" s="10">
        <v>7.0</v>
      </c>
      <c r="C276" s="10">
        <v>20.0</v>
      </c>
      <c r="D276" s="10">
        <v>7.0</v>
      </c>
      <c r="E276" s="11">
        <v>2.86</v>
      </c>
      <c r="F276" s="12">
        <v>0.0399</v>
      </c>
      <c r="G276" s="10">
        <v>19.0</v>
      </c>
      <c r="H276" s="10" t="s">
        <v>23</v>
      </c>
      <c r="I276" s="10" t="s">
        <v>42</v>
      </c>
      <c r="J276" s="10" t="s">
        <v>60</v>
      </c>
      <c r="K276" s="10" t="s">
        <v>106</v>
      </c>
      <c r="L276" s="13">
        <v>4.0</v>
      </c>
      <c r="M276" s="13">
        <v>3.0</v>
      </c>
      <c r="N276" s="13" t="s">
        <v>23</v>
      </c>
      <c r="O276" s="13">
        <v>4.0</v>
      </c>
      <c r="P276" s="10" t="s">
        <v>23</v>
      </c>
      <c r="Q276" s="10" t="s">
        <v>23</v>
      </c>
      <c r="R276" s="10"/>
      <c r="S276" s="10" t="s">
        <v>23</v>
      </c>
      <c r="T276" s="10"/>
      <c r="U276" s="10" t="s">
        <v>23</v>
      </c>
    </row>
    <row r="277">
      <c r="A277" s="9" t="str">
        <f>HYPERLINK("https://docs.google.com/spreadsheets/d/1w0I5RoQ7uENhUG1ncC5V9B3b6BQapplx180-f9F9s4w/edit?usp=sharing","Shawna Mitchell")</f>
        <v>Shawna Mitchell</v>
      </c>
      <c r="B277" s="10">
        <v>6.0</v>
      </c>
      <c r="C277" s="10">
        <v>20.0</v>
      </c>
      <c r="D277" s="10">
        <v>6.0</v>
      </c>
      <c r="E277" s="11">
        <v>3.33</v>
      </c>
      <c r="F277" s="12">
        <v>0.0412</v>
      </c>
      <c r="G277" s="10">
        <v>18.0</v>
      </c>
      <c r="H277" s="10" t="s">
        <v>23</v>
      </c>
      <c r="I277" s="10" t="s">
        <v>42</v>
      </c>
      <c r="J277" s="10" t="s">
        <v>60</v>
      </c>
      <c r="K277" s="10" t="s">
        <v>78</v>
      </c>
      <c r="L277" s="13">
        <v>2.0</v>
      </c>
      <c r="M277" s="13">
        <v>3.0</v>
      </c>
      <c r="N277" s="13" t="s">
        <v>23</v>
      </c>
      <c r="O277" s="13">
        <v>3.0</v>
      </c>
      <c r="P277" s="10" t="s">
        <v>23</v>
      </c>
      <c r="Q277" s="10" t="s">
        <v>23</v>
      </c>
      <c r="R277" s="10"/>
      <c r="S277" s="10" t="s">
        <v>23</v>
      </c>
      <c r="T277" s="10"/>
      <c r="U277" s="10" t="s">
        <v>23</v>
      </c>
    </row>
    <row r="278">
      <c r="A278" s="9" t="str">
        <f>HYPERLINK("https://docs.google.com/spreadsheets/d/1X-5lK1sJCBpvE08rC1VdSsGvayqyrC62cK7W45Q4XX8/edit?usp=sharing","Brad Culpepper")</f>
        <v>Brad Culpepper</v>
      </c>
      <c r="B278" s="10">
        <v>27.0</v>
      </c>
      <c r="C278" s="10">
        <v>20.0</v>
      </c>
      <c r="D278" s="10">
        <v>6.0</v>
      </c>
      <c r="E278" s="11">
        <v>3.33</v>
      </c>
      <c r="F278" s="12">
        <v>0.0462</v>
      </c>
      <c r="G278" s="10">
        <v>14.0</v>
      </c>
      <c r="H278" s="10">
        <v>1.0</v>
      </c>
      <c r="I278" s="10" t="s">
        <v>42</v>
      </c>
      <c r="J278" s="10" t="s">
        <v>60</v>
      </c>
      <c r="K278" s="10" t="s">
        <v>112</v>
      </c>
      <c r="L278" s="13" t="s">
        <v>23</v>
      </c>
      <c r="M278" s="13" t="s">
        <v>23</v>
      </c>
      <c r="N278" s="13" t="s">
        <v>23</v>
      </c>
      <c r="O278" s="13">
        <v>4.0</v>
      </c>
      <c r="P278" s="13" t="s">
        <v>23</v>
      </c>
      <c r="Q278" s="13">
        <v>1.0</v>
      </c>
      <c r="R278" s="13"/>
      <c r="S278" s="10" t="s">
        <v>23</v>
      </c>
      <c r="T278" s="10"/>
      <c r="U278" s="10" t="s">
        <v>23</v>
      </c>
    </row>
    <row r="279">
      <c r="A279" s="9" t="str">
        <f>HYPERLINK("https://docs.google.com/spreadsheets/d/1hg_GT4r2smQsgkwEYBqHOukVavnNSyncsyfceWDpOho/edit?usp=sharing","Richard Hatch")</f>
        <v>Richard Hatch</v>
      </c>
      <c r="B279" s="10">
        <v>8.0</v>
      </c>
      <c r="C279" s="10">
        <v>20.0</v>
      </c>
      <c r="D279" s="10">
        <v>5.0</v>
      </c>
      <c r="E279" s="11">
        <v>4.0</v>
      </c>
      <c r="F279" s="12">
        <v>0.0394</v>
      </c>
      <c r="G279" s="10">
        <v>15.0</v>
      </c>
      <c r="H279" s="10" t="s">
        <v>23</v>
      </c>
      <c r="I279" s="10" t="s">
        <v>42</v>
      </c>
      <c r="J279" s="10" t="s">
        <v>60</v>
      </c>
      <c r="K279" s="10" t="s">
        <v>114</v>
      </c>
      <c r="L279" s="13">
        <v>3.0</v>
      </c>
      <c r="M279" s="13">
        <v>3.0</v>
      </c>
      <c r="N279" s="13" t="s">
        <v>23</v>
      </c>
      <c r="O279" s="13">
        <v>1.0</v>
      </c>
      <c r="P279" s="10" t="s">
        <v>23</v>
      </c>
      <c r="Q279" s="10" t="s">
        <v>23</v>
      </c>
      <c r="R279" s="10"/>
      <c r="S279" s="10" t="s">
        <v>23</v>
      </c>
      <c r="T279" s="10"/>
      <c r="U279" s="10" t="s">
        <v>23</v>
      </c>
    </row>
    <row r="280">
      <c r="A280" s="18" t="s">
        <v>115</v>
      </c>
      <c r="B280" s="13">
        <v>40.0</v>
      </c>
      <c r="C280" s="13">
        <v>20.0</v>
      </c>
      <c r="D280" s="13">
        <v>15.0</v>
      </c>
      <c r="E280" s="16">
        <v>1.33</v>
      </c>
      <c r="F280" s="17">
        <v>0.0349</v>
      </c>
      <c r="G280" s="13">
        <v>36.0</v>
      </c>
      <c r="H280" s="13">
        <v>4.0</v>
      </c>
      <c r="I280" s="13" t="s">
        <v>9</v>
      </c>
      <c r="J280" s="13" t="s">
        <v>116</v>
      </c>
      <c r="K280" s="13" t="s">
        <v>65</v>
      </c>
      <c r="L280" s="13">
        <v>2.0</v>
      </c>
      <c r="M280" s="13">
        <v>4.0</v>
      </c>
      <c r="N280" s="13">
        <v>2.0</v>
      </c>
      <c r="O280" s="13">
        <v>12.0</v>
      </c>
      <c r="P280" s="13" t="s">
        <v>23</v>
      </c>
      <c r="Q280" s="13" t="s">
        <v>23</v>
      </c>
      <c r="R280" s="13" t="s">
        <v>23</v>
      </c>
      <c r="S280" s="13">
        <v>1.0</v>
      </c>
      <c r="T280" s="13">
        <v>5.0</v>
      </c>
      <c r="U280" s="13" t="s">
        <v>23</v>
      </c>
    </row>
    <row r="281">
      <c r="A281" s="18" t="s">
        <v>117</v>
      </c>
      <c r="B281" s="13">
        <v>40.0</v>
      </c>
      <c r="C281" s="13">
        <v>20.0</v>
      </c>
      <c r="D281" s="13">
        <v>15.0</v>
      </c>
      <c r="E281" s="16">
        <v>1.33</v>
      </c>
      <c r="F281" s="17">
        <v>0.0349</v>
      </c>
      <c r="G281" s="13" t="s">
        <v>118</v>
      </c>
      <c r="H281" s="13">
        <v>4.0</v>
      </c>
      <c r="I281" s="13" t="s">
        <v>9</v>
      </c>
      <c r="J281" s="13" t="s">
        <v>119</v>
      </c>
      <c r="K281" s="13" t="s">
        <v>63</v>
      </c>
      <c r="L281" s="13">
        <v>4.0</v>
      </c>
      <c r="M281" s="13">
        <v>5.0</v>
      </c>
      <c r="N281" s="13">
        <v>1.0</v>
      </c>
      <c r="O281" s="13">
        <v>8.0</v>
      </c>
      <c r="P281" s="13" t="s">
        <v>23</v>
      </c>
      <c r="Q281" s="13" t="s">
        <v>23</v>
      </c>
      <c r="R281" s="13">
        <v>1.0</v>
      </c>
      <c r="S281" s="13">
        <v>1.0</v>
      </c>
      <c r="T281" s="13">
        <v>2.0</v>
      </c>
      <c r="U281" s="13" t="s">
        <v>23</v>
      </c>
    </row>
    <row r="282">
      <c r="A282" s="18" t="s">
        <v>120</v>
      </c>
      <c r="B282" s="13">
        <v>40.0</v>
      </c>
      <c r="C282" s="13">
        <v>20.0</v>
      </c>
      <c r="D282" s="13">
        <v>15.0</v>
      </c>
      <c r="E282" s="16">
        <v>1.33</v>
      </c>
      <c r="F282" s="17">
        <v>0.0349</v>
      </c>
      <c r="G282" s="13" t="s">
        <v>121</v>
      </c>
      <c r="H282" s="13">
        <v>6.0</v>
      </c>
      <c r="I282" s="13" t="s">
        <v>9</v>
      </c>
      <c r="J282" s="13" t="s">
        <v>54</v>
      </c>
      <c r="K282" s="13" t="s">
        <v>86</v>
      </c>
      <c r="L282" s="13">
        <v>5.0</v>
      </c>
      <c r="M282" s="13">
        <v>5.0</v>
      </c>
      <c r="N282" s="13" t="s">
        <v>23</v>
      </c>
      <c r="O282" s="13">
        <v>7.0</v>
      </c>
      <c r="P282" s="13" t="s">
        <v>23</v>
      </c>
      <c r="Q282" s="13" t="s">
        <v>23</v>
      </c>
      <c r="R282" s="13">
        <v>1.0</v>
      </c>
      <c r="S282" s="13">
        <v>2.0</v>
      </c>
      <c r="T282" s="13">
        <v>2.0</v>
      </c>
      <c r="U282" s="13" t="s">
        <v>23</v>
      </c>
    </row>
    <row r="283">
      <c r="A283" s="18" t="s">
        <v>122</v>
      </c>
      <c r="B283" s="13">
        <v>40.0</v>
      </c>
      <c r="C283" s="13">
        <v>20.0</v>
      </c>
      <c r="D283" s="13">
        <v>15.0</v>
      </c>
      <c r="E283" s="16">
        <v>1.33</v>
      </c>
      <c r="F283" s="17">
        <v>0.0349</v>
      </c>
      <c r="G283" s="13" t="s">
        <v>123</v>
      </c>
      <c r="H283" s="13">
        <v>7.0</v>
      </c>
      <c r="I283" s="13" t="s">
        <v>42</v>
      </c>
      <c r="J283" s="13" t="s">
        <v>43</v>
      </c>
      <c r="K283" s="13" t="s">
        <v>124</v>
      </c>
      <c r="L283" s="13" t="s">
        <v>23</v>
      </c>
      <c r="M283" s="13">
        <v>1.0</v>
      </c>
      <c r="N283" s="13" t="s">
        <v>23</v>
      </c>
      <c r="O283" s="13">
        <v>3.0</v>
      </c>
      <c r="P283" s="13" t="s">
        <v>23</v>
      </c>
      <c r="Q283" s="13" t="s">
        <v>23</v>
      </c>
      <c r="R283" s="13">
        <v>1.0</v>
      </c>
      <c r="S283" s="13" t="s">
        <v>23</v>
      </c>
      <c r="T283" s="13" t="s">
        <v>23</v>
      </c>
      <c r="U283" s="13" t="s">
        <v>23</v>
      </c>
    </row>
    <row r="284">
      <c r="A284" s="15" t="str">
        <f>HYPERLINK("https://docs.google.com/spreadsheets/d/1ZajpFwOHrMmupCcACeLhLTzPOwhTrjKRR1FJtUgeLww/edit?usp=sharing","Will Wahl")</f>
        <v>Will Wahl</v>
      </c>
      <c r="B284" s="13">
        <v>33.0</v>
      </c>
      <c r="C284" s="13">
        <v>19.0</v>
      </c>
      <c r="D284" s="13">
        <v>13.0</v>
      </c>
      <c r="E284" s="16">
        <v>1.46</v>
      </c>
      <c r="F284" s="17">
        <v>0.0437</v>
      </c>
      <c r="G284" s="13">
        <v>34.0</v>
      </c>
      <c r="H284" s="13">
        <v>5.0</v>
      </c>
      <c r="I284" s="13" t="s">
        <v>9</v>
      </c>
      <c r="J284" s="13" t="s">
        <v>37</v>
      </c>
      <c r="K284" s="13" t="s">
        <v>71</v>
      </c>
      <c r="L284" s="13">
        <v>6.0</v>
      </c>
      <c r="M284" s="13">
        <v>5.0</v>
      </c>
      <c r="N284" s="13">
        <v>1.0</v>
      </c>
      <c r="O284" s="13">
        <v>8.0</v>
      </c>
      <c r="P284" s="13" t="s">
        <v>23</v>
      </c>
      <c r="Q284" s="13" t="s">
        <v>23</v>
      </c>
      <c r="R284" s="13"/>
      <c r="S284" s="13" t="s">
        <v>23</v>
      </c>
      <c r="T284" s="13" t="s">
        <v>23</v>
      </c>
      <c r="U284" s="13" t="s">
        <v>23</v>
      </c>
    </row>
    <row r="285">
      <c r="A285" s="15" t="str">
        <f>HYPERLINK("https://docs.google.com/spreadsheets/d/1ZajpFwOHrMmupCcACeLhLTzPOwhTrjKRR1FJtUgeLww/edit?usp=sharing","Jessica Lewis")</f>
        <v>Jessica Lewis</v>
      </c>
      <c r="B285" s="13">
        <v>33.0</v>
      </c>
      <c r="C285" s="13">
        <v>19.0</v>
      </c>
      <c r="D285" s="13">
        <v>11.0</v>
      </c>
      <c r="E285" s="16">
        <v>1.73</v>
      </c>
      <c r="F285" s="17">
        <v>0.0437</v>
      </c>
      <c r="G285" s="13">
        <v>30.0</v>
      </c>
      <c r="H285" s="13">
        <v>3.0</v>
      </c>
      <c r="I285" s="13" t="s">
        <v>9</v>
      </c>
      <c r="J285" s="13" t="s">
        <v>58</v>
      </c>
      <c r="K285" s="13" t="s">
        <v>86</v>
      </c>
      <c r="L285" s="13">
        <v>3.0</v>
      </c>
      <c r="M285" s="13">
        <v>3.0</v>
      </c>
      <c r="N285" s="13" t="s">
        <v>23</v>
      </c>
      <c r="O285" s="13">
        <v>8.0</v>
      </c>
      <c r="P285" s="13" t="s">
        <v>23</v>
      </c>
      <c r="Q285" s="13" t="s">
        <v>23</v>
      </c>
      <c r="R285" s="13"/>
      <c r="S285" s="13" t="s">
        <v>23</v>
      </c>
      <c r="T285" s="13">
        <v>1.0</v>
      </c>
      <c r="U285" s="13" t="s">
        <v>23</v>
      </c>
    </row>
    <row r="286">
      <c r="A286" s="9" t="str">
        <f>HYPERLINK("https://docs.google.com/spreadsheets/d/1EsGJrNyA7pLwFUlZ6WfOkbnPz58Cle9N9c6epQSDRVA/edit?usp=sharing","Ciera Eastin")</f>
        <v>Ciera Eastin</v>
      </c>
      <c r="B286" s="10">
        <v>31.0</v>
      </c>
      <c r="C286" s="10">
        <v>19.0</v>
      </c>
      <c r="D286" s="10">
        <v>10.0</v>
      </c>
      <c r="E286" s="11">
        <v>1.9</v>
      </c>
      <c r="F286" s="12">
        <v>0.0434</v>
      </c>
      <c r="G286" s="10">
        <v>26.0</v>
      </c>
      <c r="H286" s="10">
        <v>3.0</v>
      </c>
      <c r="I286" s="10" t="s">
        <v>9</v>
      </c>
      <c r="J286" s="10" t="s">
        <v>58</v>
      </c>
      <c r="K286" s="10" t="s">
        <v>86</v>
      </c>
      <c r="L286" s="13">
        <v>9.0</v>
      </c>
      <c r="M286" s="13">
        <v>5.0</v>
      </c>
      <c r="N286" s="13" t="s">
        <v>23</v>
      </c>
      <c r="O286" s="13">
        <v>5.0</v>
      </c>
      <c r="P286" s="10" t="s">
        <v>23</v>
      </c>
      <c r="Q286" s="10" t="s">
        <v>23</v>
      </c>
      <c r="R286" s="10"/>
      <c r="S286" s="10" t="s">
        <v>23</v>
      </c>
      <c r="T286" s="10"/>
      <c r="U286" s="10" t="s">
        <v>23</v>
      </c>
    </row>
    <row r="287">
      <c r="A287" s="9" t="str">
        <f>HYPERLINK("https://docs.google.com/spreadsheets/d/1v6gXy2rHfH0CkzT8zUZyZm6b-WimbnBspkh1B5hksu4/edit?usp=sharing","Jay Byars")</f>
        <v>Jay Byars</v>
      </c>
      <c r="B287" s="10">
        <v>24.0</v>
      </c>
      <c r="C287" s="10">
        <v>19.0</v>
      </c>
      <c r="D287" s="10">
        <v>9.0</v>
      </c>
      <c r="E287" s="11">
        <v>2.11</v>
      </c>
      <c r="F287" s="12">
        <v>0.0497</v>
      </c>
      <c r="G287" s="10">
        <v>25.0</v>
      </c>
      <c r="H287" s="10" t="s">
        <v>23</v>
      </c>
      <c r="I287" s="10" t="s">
        <v>9</v>
      </c>
      <c r="J287" s="10" t="s">
        <v>43</v>
      </c>
      <c r="K287" s="10" t="s">
        <v>68</v>
      </c>
      <c r="L287" s="13">
        <v>6.0</v>
      </c>
      <c r="M287" s="13">
        <v>3.0</v>
      </c>
      <c r="N287" s="13">
        <v>1.0</v>
      </c>
      <c r="O287" s="13">
        <v>5.0</v>
      </c>
      <c r="P287" s="10" t="s">
        <v>23</v>
      </c>
      <c r="Q287" s="10" t="s">
        <v>23</v>
      </c>
      <c r="R287" s="10"/>
      <c r="S287" s="10" t="s">
        <v>23</v>
      </c>
      <c r="T287" s="10"/>
      <c r="U287" s="10" t="s">
        <v>23</v>
      </c>
    </row>
    <row r="288">
      <c r="A288" s="15" t="str">
        <f>HYPERLINK("https://docs.google.com/spreadsheets/d/1d8Hzm_QCJnDef8NF_dVYBZLjLjFI3Fl8Yt14m8Zhn8Y/edit?usp=sharing","James Miller")</f>
        <v>James Miller</v>
      </c>
      <c r="B288" s="13">
        <v>10.0</v>
      </c>
      <c r="C288" s="13">
        <v>19.0</v>
      </c>
      <c r="D288" s="13">
        <v>6.0</v>
      </c>
      <c r="E288" s="16">
        <v>3.17</v>
      </c>
      <c r="F288" s="17">
        <v>0.0445</v>
      </c>
      <c r="G288" s="13">
        <v>15.0</v>
      </c>
      <c r="H288" s="13" t="s">
        <v>23</v>
      </c>
      <c r="I288" s="13" t="s">
        <v>42</v>
      </c>
      <c r="J288" s="13" t="s">
        <v>60</v>
      </c>
      <c r="K288" s="13" t="s">
        <v>82</v>
      </c>
      <c r="L288" s="13">
        <v>3.0</v>
      </c>
      <c r="M288" s="13" t="s">
        <v>23</v>
      </c>
      <c r="N288" s="13" t="s">
        <v>23</v>
      </c>
      <c r="O288" s="13">
        <v>6.0</v>
      </c>
      <c r="P288" s="13" t="s">
        <v>23</v>
      </c>
      <c r="Q288" s="13" t="s">
        <v>23</v>
      </c>
      <c r="R288" s="13"/>
      <c r="S288" s="13" t="s">
        <v>23</v>
      </c>
      <c r="T288" s="13" t="s">
        <v>23</v>
      </c>
      <c r="U288" s="13" t="s">
        <v>23</v>
      </c>
    </row>
    <row r="289">
      <c r="A289" s="9" t="str">
        <f>HYPERLINK("https://docs.google.com/spreadsheets/d/1EZNO7rY3X3GsqJDX9iY8RpZJJDJ-K4nm_Mxm1g397N0/edit?usp=sharing","Silas Gaither")</f>
        <v>Silas Gaither</v>
      </c>
      <c r="B289" s="10">
        <v>3.0</v>
      </c>
      <c r="C289" s="10">
        <v>19.0</v>
      </c>
      <c r="D289" s="10">
        <v>5.0</v>
      </c>
      <c r="E289" s="11">
        <v>3.8</v>
      </c>
      <c r="F289" s="12">
        <v>0.038</v>
      </c>
      <c r="G289" s="10">
        <v>15.0</v>
      </c>
      <c r="H289" s="10">
        <v>1.0</v>
      </c>
      <c r="I289" s="10" t="s">
        <v>42</v>
      </c>
      <c r="J289" s="10" t="s">
        <v>60</v>
      </c>
      <c r="K289" s="10" t="s">
        <v>106</v>
      </c>
      <c r="L289" s="13">
        <v>4.0</v>
      </c>
      <c r="M289" s="13">
        <v>2.0</v>
      </c>
      <c r="N289" s="13" t="s">
        <v>23</v>
      </c>
      <c r="O289" s="13">
        <v>3.0</v>
      </c>
      <c r="P289" s="10" t="s">
        <v>23</v>
      </c>
      <c r="Q289" s="10" t="s">
        <v>23</v>
      </c>
      <c r="R289" s="10"/>
      <c r="S289" s="10" t="s">
        <v>23</v>
      </c>
      <c r="T289" s="10"/>
      <c r="U289" s="10" t="s">
        <v>23</v>
      </c>
    </row>
    <row r="290">
      <c r="A290" s="15" t="str">
        <f>HYPERLINK("https://docs.google.com/spreadsheets/d/1tElnwN2HVf964gGw8Ei53RyfjarS40wkDY3zivAPWp0/edit?usp=sharing","J.T. Thomas")</f>
        <v>J.T. Thomas</v>
      </c>
      <c r="B290" s="13">
        <v>34.0</v>
      </c>
      <c r="C290" s="13">
        <v>19.0</v>
      </c>
      <c r="D290" s="13">
        <v>5.0</v>
      </c>
      <c r="E290" s="16">
        <v>3.8</v>
      </c>
      <c r="F290" s="17">
        <v>0.0461</v>
      </c>
      <c r="G290" s="13">
        <v>13.0</v>
      </c>
      <c r="H290" s="13">
        <v>1.0</v>
      </c>
      <c r="I290" s="13" t="s">
        <v>42</v>
      </c>
      <c r="J290" s="13" t="s">
        <v>60</v>
      </c>
      <c r="K290" s="13" t="s">
        <v>103</v>
      </c>
      <c r="L290" s="13">
        <v>5.0</v>
      </c>
      <c r="M290" s="13">
        <v>3.0</v>
      </c>
      <c r="N290" s="13" t="s">
        <v>23</v>
      </c>
      <c r="O290" s="13">
        <v>2.0</v>
      </c>
      <c r="P290" s="13" t="s">
        <v>23</v>
      </c>
      <c r="Q290" s="13" t="s">
        <v>23</v>
      </c>
      <c r="R290" s="13"/>
      <c r="S290" s="13">
        <v>1.0</v>
      </c>
      <c r="T290" s="13" t="s">
        <v>23</v>
      </c>
      <c r="U290" s="13" t="s">
        <v>23</v>
      </c>
    </row>
    <row r="291">
      <c r="A291" s="9" t="str">
        <f>HYPERLINK("https://docs.google.com/spreadsheets/d/14eN4V4imd53x81UQVckjyAx_2xIFGXJ8NE4XmE1oDkg/edit?usp=sharing","Ramona Gray")</f>
        <v>Ramona Gray</v>
      </c>
      <c r="B291" s="10">
        <v>1.0</v>
      </c>
      <c r="C291" s="10">
        <v>19.0</v>
      </c>
      <c r="D291" s="10">
        <v>4.0</v>
      </c>
      <c r="E291" s="11">
        <v>4.75</v>
      </c>
      <c r="F291" s="14">
        <v>0.0289</v>
      </c>
      <c r="G291" s="10">
        <v>12.0</v>
      </c>
      <c r="H291" s="10">
        <v>1.0</v>
      </c>
      <c r="I291" s="10" t="s">
        <v>42</v>
      </c>
      <c r="J291" s="10" t="s">
        <v>60</v>
      </c>
      <c r="K291" s="10" t="s">
        <v>107</v>
      </c>
      <c r="L291" s="13">
        <v>2.0</v>
      </c>
      <c r="M291" s="13">
        <v>2.0</v>
      </c>
      <c r="N291" s="13" t="s">
        <v>23</v>
      </c>
      <c r="O291" s="13">
        <v>2.0</v>
      </c>
      <c r="P291" s="10" t="s">
        <v>23</v>
      </c>
      <c r="Q291" s="10" t="s">
        <v>23</v>
      </c>
      <c r="R291" s="10"/>
      <c r="S291" s="10" t="s">
        <v>23</v>
      </c>
      <c r="T291" s="10"/>
      <c r="U291" s="10" t="s">
        <v>23</v>
      </c>
    </row>
    <row r="292">
      <c r="A292" s="9" t="str">
        <f>HYPERLINK("https://docs.google.com/spreadsheets/d/1v6gXy2rHfH0CkzT8zUZyZm6b-WimbnBspkh1B5hksu4/edit?usp=sharing","Greg ""Tarzan"" Smith")</f>
        <v>Greg "Tarzan" Smith</v>
      </c>
      <c r="B292" s="10">
        <v>24.0</v>
      </c>
      <c r="C292" s="10">
        <v>18.0</v>
      </c>
      <c r="D292" s="10">
        <v>13.0</v>
      </c>
      <c r="E292" s="11">
        <v>1.38</v>
      </c>
      <c r="F292" s="12">
        <v>0.0471</v>
      </c>
      <c r="G292" s="10">
        <v>36.0</v>
      </c>
      <c r="H292" s="10">
        <v>4.0</v>
      </c>
      <c r="I292" s="10" t="s">
        <v>9</v>
      </c>
      <c r="J292" s="10" t="s">
        <v>24</v>
      </c>
      <c r="K292" s="10" t="s">
        <v>56</v>
      </c>
      <c r="L292" s="13">
        <v>5.0</v>
      </c>
      <c r="M292" s="13">
        <v>2.0</v>
      </c>
      <c r="N292" s="13" t="s">
        <v>23</v>
      </c>
      <c r="O292" s="13">
        <v>10.0</v>
      </c>
      <c r="P292" s="10" t="s">
        <v>23</v>
      </c>
      <c r="Q292" s="10" t="s">
        <v>23</v>
      </c>
      <c r="R292" s="10"/>
      <c r="S292" s="10" t="s">
        <v>23</v>
      </c>
      <c r="T292" s="10"/>
      <c r="U292" s="10" t="s">
        <v>23</v>
      </c>
    </row>
    <row r="293">
      <c r="A293" s="9" t="str">
        <f>HYPERLINK("https://docs.google.com/spreadsheets/d/1OvIOVR4AMBMcafVt9o6KEur-eEFhew1kw_KUv3DV3Xs/edit?usp=sharing","Edna Ma")</f>
        <v>Edna Ma</v>
      </c>
      <c r="B293" s="10">
        <v>23.0</v>
      </c>
      <c r="C293" s="10">
        <v>18.0</v>
      </c>
      <c r="D293" s="10">
        <v>13.0</v>
      </c>
      <c r="E293" s="11">
        <v>1.38</v>
      </c>
      <c r="F293" s="12">
        <v>0.0449</v>
      </c>
      <c r="G293" s="10">
        <v>33.0</v>
      </c>
      <c r="H293" s="10">
        <v>6.0</v>
      </c>
      <c r="I293" s="10" t="s">
        <v>9</v>
      </c>
      <c r="J293" s="10" t="s">
        <v>37</v>
      </c>
      <c r="K293" s="10" t="s">
        <v>66</v>
      </c>
      <c r="L293" s="13">
        <v>4.0</v>
      </c>
      <c r="M293" s="13">
        <v>4.0</v>
      </c>
      <c r="N293" s="13" t="s">
        <v>23</v>
      </c>
      <c r="O293" s="13">
        <v>10.0</v>
      </c>
      <c r="P293" s="13" t="s">
        <v>23</v>
      </c>
      <c r="Q293" s="13">
        <v>1.0</v>
      </c>
      <c r="R293" s="13"/>
      <c r="S293" s="10" t="s">
        <v>23</v>
      </c>
      <c r="T293" s="10"/>
      <c r="U293" s="10" t="s">
        <v>23</v>
      </c>
    </row>
    <row r="294">
      <c r="A294" s="15" t="str">
        <f>HYPERLINK("https://docs.google.com/spreadsheets/d/1tElnwN2HVf964gGw8Ei53RyfjarS40wkDY3zivAPWp0/edit?usp=sharing","Andrea Boehlke")</f>
        <v>Andrea Boehlke</v>
      </c>
      <c r="B294" s="13">
        <v>34.0</v>
      </c>
      <c r="C294" s="13">
        <v>18.0</v>
      </c>
      <c r="D294" s="13">
        <v>13.0</v>
      </c>
      <c r="E294" s="16">
        <v>1.38</v>
      </c>
      <c r="F294" s="17">
        <v>0.0437</v>
      </c>
      <c r="G294" s="13">
        <v>33.0</v>
      </c>
      <c r="H294" s="13">
        <v>3.0</v>
      </c>
      <c r="I294" s="13" t="s">
        <v>9</v>
      </c>
      <c r="J294" s="13" t="s">
        <v>37</v>
      </c>
      <c r="K294" s="13" t="s">
        <v>71</v>
      </c>
      <c r="L294" s="13">
        <v>10.0</v>
      </c>
      <c r="M294" s="13">
        <v>5.0</v>
      </c>
      <c r="N294" s="13">
        <v>2.0</v>
      </c>
      <c r="O294" s="13">
        <v>8.0</v>
      </c>
      <c r="P294" s="13" t="s">
        <v>23</v>
      </c>
      <c r="Q294" s="13" t="s">
        <v>23</v>
      </c>
      <c r="R294" s="13"/>
      <c r="S294" s="13" t="s">
        <v>23</v>
      </c>
      <c r="T294" s="13" t="s">
        <v>23</v>
      </c>
      <c r="U294" s="13" t="s">
        <v>23</v>
      </c>
    </row>
    <row r="295">
      <c r="A295" s="9" t="str">
        <f>HYPERLINK("https://docs.google.com/spreadsheets/d/1CcEdjXKuhm6HmXecNbnscxpFab1HRQEjKSDga6QxqAU/edit?usp=sharing","David Murphy")</f>
        <v>David Murphy</v>
      </c>
      <c r="B295" s="10">
        <v>22.0</v>
      </c>
      <c r="C295" s="10">
        <v>18.0</v>
      </c>
      <c r="D295" s="10">
        <v>10.0</v>
      </c>
      <c r="E295" s="11">
        <v>1.8</v>
      </c>
      <c r="F295" s="12">
        <v>0.0425</v>
      </c>
      <c r="G295" s="10">
        <v>25.0</v>
      </c>
      <c r="H295" s="10">
        <v>2.0</v>
      </c>
      <c r="I295" s="10" t="s">
        <v>9</v>
      </c>
      <c r="J295" s="10" t="s">
        <v>84</v>
      </c>
      <c r="K295" s="10" t="s">
        <v>105</v>
      </c>
      <c r="L295" s="13">
        <v>4.0</v>
      </c>
      <c r="M295" s="13">
        <v>3.0</v>
      </c>
      <c r="N295" s="13" t="s">
        <v>23</v>
      </c>
      <c r="O295" s="13">
        <v>7.0</v>
      </c>
      <c r="P295" s="13" t="s">
        <v>23</v>
      </c>
      <c r="Q295" s="13">
        <v>1.0</v>
      </c>
      <c r="R295" s="13"/>
      <c r="S295" s="10" t="s">
        <v>23</v>
      </c>
      <c r="T295" s="10"/>
      <c r="U295" s="10" t="s">
        <v>23</v>
      </c>
    </row>
    <row r="296">
      <c r="A296" s="9" t="str">
        <f>HYPERLINK("https://docs.google.com/spreadsheets/d/1tPYt5CqjX32YXnh0BRsechvszEP2n4_ePabpiRTSzqE/edit?usp=sharing","Ryan Opray")</f>
        <v>Ryan Opray</v>
      </c>
      <c r="B296" s="10">
        <v>7.0</v>
      </c>
      <c r="C296" s="10">
        <v>18.0</v>
      </c>
      <c r="D296" s="10">
        <v>9.0</v>
      </c>
      <c r="E296" s="11">
        <v>2.0</v>
      </c>
      <c r="F296" s="12">
        <v>0.0359</v>
      </c>
      <c r="G296" s="10">
        <v>24.0</v>
      </c>
      <c r="H296" s="10">
        <v>3.0</v>
      </c>
      <c r="I296" s="10" t="s">
        <v>9</v>
      </c>
      <c r="J296" s="10" t="s">
        <v>84</v>
      </c>
      <c r="K296" s="10" t="s">
        <v>87</v>
      </c>
      <c r="L296" s="13">
        <v>1.0</v>
      </c>
      <c r="M296" s="13">
        <v>3.0</v>
      </c>
      <c r="N296" s="13" t="s">
        <v>23</v>
      </c>
      <c r="O296" s="13">
        <v>6.0</v>
      </c>
      <c r="P296" s="10" t="s">
        <v>23</v>
      </c>
      <c r="Q296" s="10" t="s">
        <v>23</v>
      </c>
      <c r="R296" s="10"/>
      <c r="S296" s="10" t="s">
        <v>23</v>
      </c>
      <c r="T296" s="10"/>
      <c r="U296" s="10" t="s">
        <v>23</v>
      </c>
    </row>
    <row r="297">
      <c r="A297" s="9" t="str">
        <f>HYPERLINK("https://docs.google.com/spreadsheets/d/1nYlVL4RxK2ZUH-a4MfKCalHyEjDRWz2ZumhyoaYsjTE/edit?usp=sharing","Alina Wilson")</f>
        <v>Alina Wilson</v>
      </c>
      <c r="B297" s="10">
        <v>21.0</v>
      </c>
      <c r="C297" s="10">
        <v>18.0</v>
      </c>
      <c r="D297" s="10">
        <v>8.0</v>
      </c>
      <c r="E297" s="11">
        <v>2.25</v>
      </c>
      <c r="F297" s="12">
        <v>0.0433</v>
      </c>
      <c r="G297" s="10">
        <v>22.0</v>
      </c>
      <c r="H297" s="10">
        <v>1.0</v>
      </c>
      <c r="I297" s="10" t="s">
        <v>9</v>
      </c>
      <c r="J297" s="10" t="s">
        <v>84</v>
      </c>
      <c r="K297" s="10" t="s">
        <v>82</v>
      </c>
      <c r="L297" s="13">
        <v>6.0</v>
      </c>
      <c r="M297" s="13">
        <v>4.0</v>
      </c>
      <c r="N297" s="13" t="s">
        <v>23</v>
      </c>
      <c r="O297" s="13">
        <v>4.0</v>
      </c>
      <c r="P297" s="10" t="s">
        <v>23</v>
      </c>
      <c r="Q297" s="10" t="s">
        <v>23</v>
      </c>
      <c r="R297" s="10"/>
      <c r="S297" s="10" t="s">
        <v>23</v>
      </c>
      <c r="T297" s="10"/>
      <c r="U297" s="10" t="s">
        <v>23</v>
      </c>
    </row>
    <row r="298">
      <c r="A298" s="9" t="str">
        <f>HYPERLINK("https://docs.google.com/spreadsheets/d/1tPYt5CqjX32YXnh0BRsechvszEP2n4_ePabpiRTSzqE/edit?usp=sharing","Osten Taylor")</f>
        <v>Osten Taylor</v>
      </c>
      <c r="B298" s="10">
        <v>7.0</v>
      </c>
      <c r="C298" s="10">
        <v>18.0</v>
      </c>
      <c r="D298" s="10">
        <v>7.0</v>
      </c>
      <c r="E298" s="11">
        <v>2.57</v>
      </c>
      <c r="F298" s="12">
        <v>0.0359</v>
      </c>
      <c r="G298" s="10">
        <v>19.0</v>
      </c>
      <c r="H298" s="10" t="s">
        <v>23</v>
      </c>
      <c r="I298" s="10" t="s">
        <v>42</v>
      </c>
      <c r="J298" s="10" t="s">
        <v>60</v>
      </c>
      <c r="K298" s="10" t="s">
        <v>78</v>
      </c>
      <c r="L298" s="13">
        <v>1.0</v>
      </c>
      <c r="M298" s="13">
        <v>3.0</v>
      </c>
      <c r="N298" s="13" t="s">
        <v>23</v>
      </c>
      <c r="O298" s="13">
        <v>4.0</v>
      </c>
      <c r="P298" s="10" t="s">
        <v>23</v>
      </c>
      <c r="Q298" s="10" t="s">
        <v>23</v>
      </c>
      <c r="R298" s="10"/>
      <c r="S298" s="10" t="s">
        <v>23</v>
      </c>
      <c r="T298" s="10"/>
      <c r="U298" s="10" t="s">
        <v>64</v>
      </c>
    </row>
    <row r="299">
      <c r="A299" s="9" t="str">
        <f>HYPERLINK("https://docs.google.com/spreadsheets/d/1EsGJrNyA7pLwFUlZ6WfOkbnPz58Cle9N9c6epQSDRVA/edit?usp=sharing","Kass McQuillen")</f>
        <v>Kass McQuillen</v>
      </c>
      <c r="B299" s="10">
        <v>31.0</v>
      </c>
      <c r="C299" s="10">
        <v>18.0</v>
      </c>
      <c r="D299" s="10">
        <v>7.0</v>
      </c>
      <c r="E299" s="11">
        <v>2.57</v>
      </c>
      <c r="F299" s="12">
        <v>0.0411</v>
      </c>
      <c r="G299" s="10">
        <v>19.0</v>
      </c>
      <c r="H299" s="10">
        <v>2.0</v>
      </c>
      <c r="I299" s="10" t="s">
        <v>9</v>
      </c>
      <c r="J299" s="10" t="s">
        <v>84</v>
      </c>
      <c r="K299" s="10" t="s">
        <v>100</v>
      </c>
      <c r="L299" s="13">
        <v>6.0</v>
      </c>
      <c r="M299" s="13">
        <v>5.0</v>
      </c>
      <c r="N299" s="13" t="s">
        <v>23</v>
      </c>
      <c r="O299" s="13">
        <v>2.0</v>
      </c>
      <c r="P299" s="10" t="s">
        <v>23</v>
      </c>
      <c r="Q299" s="10" t="s">
        <v>23</v>
      </c>
      <c r="R299" s="10"/>
      <c r="S299" s="10" t="s">
        <v>23</v>
      </c>
      <c r="T299" s="10"/>
      <c r="U299" s="10" t="s">
        <v>23</v>
      </c>
    </row>
    <row r="300">
      <c r="A300" s="15" t="str">
        <f>HYPERLINK("https://docs.google.com/spreadsheets/d/1q-5bbq9txg93Y0eUACxRPTIN5PuRjeDVpNDfeXEw4iE/edit?usp=sharing","Jessica Johnston")</f>
        <v>Jessica Johnston</v>
      </c>
      <c r="B300" s="13">
        <v>35.0</v>
      </c>
      <c r="C300" s="13">
        <v>18.0</v>
      </c>
      <c r="D300" s="13">
        <v>7.0</v>
      </c>
      <c r="E300" s="16">
        <v>2.57</v>
      </c>
      <c r="F300" s="17">
        <v>0.0418</v>
      </c>
      <c r="G300" s="13">
        <v>19.0</v>
      </c>
      <c r="H300" s="13">
        <v>1.0</v>
      </c>
      <c r="I300" s="13" t="s">
        <v>9</v>
      </c>
      <c r="J300" s="13" t="s">
        <v>60</v>
      </c>
      <c r="K300" s="13" t="s">
        <v>105</v>
      </c>
      <c r="L300" s="13">
        <v>7.0</v>
      </c>
      <c r="M300" s="13">
        <v>6.0</v>
      </c>
      <c r="N300" s="13" t="s">
        <v>23</v>
      </c>
      <c r="O300" s="13">
        <v>1.0</v>
      </c>
      <c r="P300" s="13" t="s">
        <v>23</v>
      </c>
      <c r="Q300" s="13" t="s">
        <v>23</v>
      </c>
      <c r="R300" s="13"/>
      <c r="S300" s="13" t="s">
        <v>23</v>
      </c>
      <c r="T300" s="13">
        <v>1.0</v>
      </c>
      <c r="U300" s="13" t="s">
        <v>23</v>
      </c>
    </row>
    <row r="301">
      <c r="A301" s="15" t="str">
        <f>HYPERLINK("https://docs.google.com/spreadsheets/d/1sWOJC8eB6rVdXdWiWMgfbfgw2325jIh1ODKxyaCmSGc/edit?usp=sharing","Brian Corridan")</f>
        <v>Brian Corridan</v>
      </c>
      <c r="B301" s="13">
        <v>11.0</v>
      </c>
      <c r="C301" s="13">
        <v>18.0</v>
      </c>
      <c r="D301" s="13">
        <v>6.0</v>
      </c>
      <c r="E301" s="16">
        <v>3.0</v>
      </c>
      <c r="F301" s="17">
        <v>0.0408</v>
      </c>
      <c r="G301" s="13">
        <v>15.0</v>
      </c>
      <c r="H301" s="13" t="s">
        <v>23</v>
      </c>
      <c r="I301" s="13" t="s">
        <v>42</v>
      </c>
      <c r="J301" s="13" t="s">
        <v>60</v>
      </c>
      <c r="K301" s="13" t="s">
        <v>105</v>
      </c>
      <c r="L301" s="13">
        <v>1.0</v>
      </c>
      <c r="M301" s="13">
        <v>2.0</v>
      </c>
      <c r="N301" s="13" t="s">
        <v>23</v>
      </c>
      <c r="O301" s="13">
        <v>4.0</v>
      </c>
      <c r="P301" s="13" t="s">
        <v>23</v>
      </c>
      <c r="Q301" s="13" t="s">
        <v>23</v>
      </c>
      <c r="R301" s="13"/>
      <c r="S301" s="13" t="s">
        <v>23</v>
      </c>
      <c r="T301" s="13" t="s">
        <v>23</v>
      </c>
      <c r="U301" s="13" t="s">
        <v>23</v>
      </c>
    </row>
    <row r="302">
      <c r="A302" s="9" t="str">
        <f>HYPERLINK("https://docs.google.com/spreadsheets/d/18wmIvmUS3SeZNSPQeUzr6sPl9GBYpVSlOaFR_kJCmKo/edit?usp=sharing","Mitchell Olson")</f>
        <v>Mitchell Olson</v>
      </c>
      <c r="B302" s="10">
        <v>2.0</v>
      </c>
      <c r="C302" s="10">
        <v>18.0</v>
      </c>
      <c r="D302" s="10">
        <v>4.0</v>
      </c>
      <c r="E302" s="11">
        <v>4.5</v>
      </c>
      <c r="F302" s="12">
        <v>0.0321</v>
      </c>
      <c r="G302" s="10">
        <v>12.0</v>
      </c>
      <c r="H302" s="10" t="s">
        <v>23</v>
      </c>
      <c r="I302" s="10" t="s">
        <v>42</v>
      </c>
      <c r="J302" s="10" t="s">
        <v>60</v>
      </c>
      <c r="K302" s="10" t="s">
        <v>107</v>
      </c>
      <c r="L302" s="13">
        <v>3.0</v>
      </c>
      <c r="M302" s="13">
        <v>1.0</v>
      </c>
      <c r="N302" s="13" t="s">
        <v>23</v>
      </c>
      <c r="O302" s="13">
        <v>3.0</v>
      </c>
      <c r="P302" s="10" t="s">
        <v>23</v>
      </c>
      <c r="Q302" s="10" t="s">
        <v>23</v>
      </c>
      <c r="R302" s="10"/>
      <c r="S302" s="10" t="s">
        <v>23</v>
      </c>
      <c r="T302" s="10"/>
      <c r="U302" s="10" t="s">
        <v>23</v>
      </c>
    </row>
    <row r="303">
      <c r="A303" s="18" t="s">
        <v>125</v>
      </c>
      <c r="B303" s="13">
        <v>40.0</v>
      </c>
      <c r="C303" s="13">
        <v>18.0</v>
      </c>
      <c r="D303" s="13">
        <v>15.0</v>
      </c>
      <c r="E303" s="16">
        <v>1.2</v>
      </c>
      <c r="F303" s="17">
        <v>0.0314</v>
      </c>
      <c r="G303" s="13" t="s">
        <v>126</v>
      </c>
      <c r="H303" s="13">
        <v>6.0</v>
      </c>
      <c r="I303" s="13" t="s">
        <v>42</v>
      </c>
      <c r="J303" s="13" t="s">
        <v>37</v>
      </c>
      <c r="K303" s="13" t="s">
        <v>111</v>
      </c>
      <c r="L303" s="13">
        <v>3.0</v>
      </c>
      <c r="M303" s="13">
        <v>4.0</v>
      </c>
      <c r="N303" s="13" t="s">
        <v>23</v>
      </c>
      <c r="O303" s="13">
        <v>4.0</v>
      </c>
      <c r="P303" s="13" t="s">
        <v>23</v>
      </c>
      <c r="Q303" s="13" t="s">
        <v>23</v>
      </c>
      <c r="R303" s="13">
        <v>1.0</v>
      </c>
      <c r="S303" s="13" t="s">
        <v>23</v>
      </c>
      <c r="T303" s="13">
        <v>2.0</v>
      </c>
      <c r="U303" s="13" t="s">
        <v>23</v>
      </c>
    </row>
    <row r="304">
      <c r="A304" s="9" t="str">
        <f>HYPERLINK("https://docs.google.com/spreadsheets/d/1EsGJrNyA7pLwFUlZ6WfOkbnPz58Cle9N9c6epQSDRVA/edit?usp=sharing","Keith Nale")</f>
        <v>Keith Nale</v>
      </c>
      <c r="B304" s="10">
        <v>31.0</v>
      </c>
      <c r="C304" s="10">
        <v>17.0</v>
      </c>
      <c r="D304" s="10">
        <v>14.0</v>
      </c>
      <c r="E304" s="11">
        <v>1.21</v>
      </c>
      <c r="F304" s="12">
        <v>0.0388</v>
      </c>
      <c r="G304" s="10">
        <v>37.0</v>
      </c>
      <c r="H304" s="10">
        <v>6.0</v>
      </c>
      <c r="I304" s="10" t="s">
        <v>9</v>
      </c>
      <c r="J304" s="10" t="s">
        <v>45</v>
      </c>
      <c r="K304" s="10" t="s">
        <v>67</v>
      </c>
      <c r="L304" s="13">
        <v>8.0</v>
      </c>
      <c r="M304" s="13">
        <v>6.0</v>
      </c>
      <c r="N304" s="13">
        <v>1.0</v>
      </c>
      <c r="O304" s="13">
        <v>9.0</v>
      </c>
      <c r="P304" s="10" t="s">
        <v>23</v>
      </c>
      <c r="Q304" s="10" t="s">
        <v>23</v>
      </c>
      <c r="R304" s="10"/>
      <c r="S304" s="10" t="s">
        <v>23</v>
      </c>
      <c r="T304" s="10"/>
      <c r="U304" s="10" t="s">
        <v>23</v>
      </c>
    </row>
    <row r="305">
      <c r="A305" s="9" t="str">
        <f>HYPERLINK("https://docs.google.com/spreadsheets/d/1iNFGyKFcJm-tPp7Dg94yi7mHCDbJssmAD_PiaDM_tAE/edit?usp=sharing","Alec Christy")</f>
        <v>Alec Christy</v>
      </c>
      <c r="B305" s="10">
        <v>29.0</v>
      </c>
      <c r="C305" s="10">
        <v>17.0</v>
      </c>
      <c r="D305" s="10">
        <v>12.0</v>
      </c>
      <c r="E305" s="11">
        <v>1.42</v>
      </c>
      <c r="F305" s="12">
        <v>0.0382</v>
      </c>
      <c r="G305" s="10">
        <v>32.0</v>
      </c>
      <c r="H305" s="10">
        <v>3.0</v>
      </c>
      <c r="I305" s="10" t="s">
        <v>9</v>
      </c>
      <c r="J305" s="10" t="s">
        <v>46</v>
      </c>
      <c r="K305" s="10" t="s">
        <v>66</v>
      </c>
      <c r="L305" s="23">
        <v>5.0</v>
      </c>
      <c r="M305" s="23">
        <v>3.0</v>
      </c>
      <c r="N305" s="23" t="s">
        <v>23</v>
      </c>
      <c r="O305" s="23">
        <v>8.0</v>
      </c>
      <c r="P305" s="23">
        <v>1.0</v>
      </c>
      <c r="Q305" s="23" t="s">
        <v>23</v>
      </c>
      <c r="R305" s="23"/>
      <c r="S305" s="13" t="s">
        <v>23</v>
      </c>
      <c r="T305" s="13"/>
      <c r="U305" s="10" t="s">
        <v>23</v>
      </c>
    </row>
    <row r="306">
      <c r="A306" s="9" t="str">
        <f>HYPERLINK("https://docs.google.com/spreadsheets/d/1CcEdjXKuhm6HmXecNbnscxpFab1HRQEjKSDga6QxqAU/edit?usp=sharing","Julie Wolfe")</f>
        <v>Julie Wolfe</v>
      </c>
      <c r="B306" s="10">
        <v>22.0</v>
      </c>
      <c r="C306" s="10">
        <v>17.0</v>
      </c>
      <c r="D306" s="10">
        <v>11.0</v>
      </c>
      <c r="E306" s="11">
        <v>1.55</v>
      </c>
      <c r="F306" s="12">
        <v>0.0401</v>
      </c>
      <c r="G306" s="10">
        <v>28.0</v>
      </c>
      <c r="H306" s="10">
        <v>4.0</v>
      </c>
      <c r="I306" s="10" t="s">
        <v>9</v>
      </c>
      <c r="J306" s="10" t="s">
        <v>48</v>
      </c>
      <c r="K306" s="10" t="s">
        <v>85</v>
      </c>
      <c r="L306" s="13">
        <v>4.0</v>
      </c>
      <c r="M306" s="13">
        <v>3.0</v>
      </c>
      <c r="N306" s="13" t="s">
        <v>23</v>
      </c>
      <c r="O306" s="13">
        <v>8.0</v>
      </c>
      <c r="P306" s="13" t="s">
        <v>23</v>
      </c>
      <c r="Q306" s="13">
        <v>1.0</v>
      </c>
      <c r="R306" s="13"/>
      <c r="S306" s="10" t="s">
        <v>23</v>
      </c>
      <c r="T306" s="10"/>
      <c r="U306" s="10" t="s">
        <v>23</v>
      </c>
    </row>
    <row r="307">
      <c r="A307" s="9" t="str">
        <f>HYPERLINK("https://docs.google.com/spreadsheets/d/18wmIvmUS3SeZNSPQeUzr6sPl9GBYpVSlOaFR_kJCmKo/edit?usp=sharing","Nick Brown")</f>
        <v>Nick Brown</v>
      </c>
      <c r="B307" s="10">
        <v>2.0</v>
      </c>
      <c r="C307" s="10">
        <v>17.0</v>
      </c>
      <c r="D307" s="10">
        <v>10.0</v>
      </c>
      <c r="E307" s="11">
        <v>1.7</v>
      </c>
      <c r="F307" s="12">
        <v>0.0303</v>
      </c>
      <c r="G307" s="10">
        <v>30.0</v>
      </c>
      <c r="H307" s="10">
        <v>1.0</v>
      </c>
      <c r="I307" s="10" t="s">
        <v>9</v>
      </c>
      <c r="J307" s="10" t="s">
        <v>43</v>
      </c>
      <c r="K307" s="10" t="s">
        <v>57</v>
      </c>
      <c r="L307" s="13">
        <v>4.0</v>
      </c>
      <c r="M307" s="13">
        <v>3.0</v>
      </c>
      <c r="N307" s="13">
        <v>1.0</v>
      </c>
      <c r="O307" s="13">
        <v>6.0</v>
      </c>
      <c r="P307" s="10" t="s">
        <v>23</v>
      </c>
      <c r="Q307" s="10" t="s">
        <v>23</v>
      </c>
      <c r="R307" s="10"/>
      <c r="S307" s="10" t="s">
        <v>23</v>
      </c>
      <c r="T307" s="10"/>
      <c r="U307" s="10" t="s">
        <v>23</v>
      </c>
    </row>
    <row r="308">
      <c r="A308" s="9" t="str">
        <f>HYPERLINK("https://docs.google.com/spreadsheets/d/1X-5lK1sJCBpvE08rC1VdSsGvayqyrC62cK7W45Q4XX8/edit?usp=sharing","Laura Boneham")</f>
        <v>Laura Boneham</v>
      </c>
      <c r="B308" s="10">
        <v>27.0</v>
      </c>
      <c r="C308" s="10">
        <v>17.0</v>
      </c>
      <c r="D308" s="10">
        <v>8.0</v>
      </c>
      <c r="E308" s="11">
        <v>2.13</v>
      </c>
      <c r="F308" s="12">
        <v>0.0393</v>
      </c>
      <c r="G308" s="10">
        <v>19.0</v>
      </c>
      <c r="H308" s="10">
        <v>2.0</v>
      </c>
      <c r="I308" s="10" t="s">
        <v>42</v>
      </c>
      <c r="J308" s="10" t="s">
        <v>60</v>
      </c>
      <c r="K308" s="10" t="s">
        <v>82</v>
      </c>
      <c r="L308" s="13">
        <v>4.0</v>
      </c>
      <c r="M308" s="13">
        <v>4.0</v>
      </c>
      <c r="N308" s="13" t="s">
        <v>23</v>
      </c>
      <c r="O308" s="13">
        <v>3.0</v>
      </c>
      <c r="P308" s="13" t="s">
        <v>23</v>
      </c>
      <c r="Q308" s="13">
        <v>1.0</v>
      </c>
      <c r="R308" s="13"/>
      <c r="S308" s="10" t="s">
        <v>23</v>
      </c>
      <c r="T308" s="10"/>
      <c r="U308" s="10" t="s">
        <v>23</v>
      </c>
    </row>
    <row r="309">
      <c r="A309" s="9" t="str">
        <f>HYPERLINK("https://docs.google.com/spreadsheets/d/1v6gXy2rHfH0CkzT8zUZyZm6b-WimbnBspkh1B5hksu4/edit?usp=sharing","Jonas Otsuji")</f>
        <v>Jonas Otsuji</v>
      </c>
      <c r="B309" s="10">
        <v>24.0</v>
      </c>
      <c r="C309" s="10">
        <v>17.0</v>
      </c>
      <c r="D309" s="10">
        <v>7.0</v>
      </c>
      <c r="E309" s="11">
        <v>2.43</v>
      </c>
      <c r="F309" s="12">
        <v>0.0445</v>
      </c>
      <c r="G309" s="10">
        <v>20.0</v>
      </c>
      <c r="H309" s="10" t="s">
        <v>23</v>
      </c>
      <c r="I309" s="10" t="s">
        <v>9</v>
      </c>
      <c r="J309" s="10" t="s">
        <v>84</v>
      </c>
      <c r="K309" s="10" t="s">
        <v>105</v>
      </c>
      <c r="L309" s="13">
        <v>3.0</v>
      </c>
      <c r="M309" s="13">
        <v>2.0</v>
      </c>
      <c r="N309" s="13" t="s">
        <v>23</v>
      </c>
      <c r="O309" s="13">
        <v>4.0</v>
      </c>
      <c r="P309" s="10" t="s">
        <v>23</v>
      </c>
      <c r="Q309" s="10" t="s">
        <v>23</v>
      </c>
      <c r="R309" s="10"/>
      <c r="S309" s="10" t="s">
        <v>23</v>
      </c>
      <c r="T309" s="10"/>
      <c r="U309" s="10" t="s">
        <v>23</v>
      </c>
    </row>
    <row r="310">
      <c r="A310" s="15" t="str">
        <f>HYPERLINK("https://docs.google.com/spreadsheets/d/1t379i2CYDM1ZVdZZy_Nj2m3ht6Sp4J68-xZ2v4-PIMo/edit?usp=sharing","Peter Baggenstos")</f>
        <v>Peter Baggenstos</v>
      </c>
      <c r="B310" s="13">
        <v>32.0</v>
      </c>
      <c r="C310" s="13">
        <v>17.0</v>
      </c>
      <c r="D310" s="13">
        <v>6.0</v>
      </c>
      <c r="E310" s="16">
        <v>2.83</v>
      </c>
      <c r="F310" s="17">
        <v>0.0344</v>
      </c>
      <c r="G310" s="13">
        <v>16.0</v>
      </c>
      <c r="H310" s="13" t="s">
        <v>23</v>
      </c>
      <c r="I310" s="13" t="s">
        <v>42</v>
      </c>
      <c r="J310" s="13" t="s">
        <v>60</v>
      </c>
      <c r="K310" s="13" t="s">
        <v>105</v>
      </c>
      <c r="L310" s="13">
        <v>4.0</v>
      </c>
      <c r="M310" s="13">
        <v>3.0</v>
      </c>
      <c r="N310" s="13" t="s">
        <v>23</v>
      </c>
      <c r="O310" s="13">
        <v>3.0</v>
      </c>
      <c r="P310" s="13" t="s">
        <v>23</v>
      </c>
      <c r="Q310" s="13" t="s">
        <v>23</v>
      </c>
      <c r="R310" s="13"/>
      <c r="S310" s="13" t="s">
        <v>23</v>
      </c>
      <c r="T310" s="13"/>
      <c r="U310" s="13" t="s">
        <v>23</v>
      </c>
    </row>
    <row r="311">
      <c r="A311" s="9" t="str">
        <f>HYPERLINK("https://docs.google.com/spreadsheets/d/1v6gXy2rHfH0CkzT8zUZyZm6b-WimbnBspkh1B5hksu4/edit?usp=sharing","Christina Cha")</f>
        <v>Christina Cha</v>
      </c>
      <c r="B311" s="10">
        <v>24.0</v>
      </c>
      <c r="C311" s="10">
        <v>16.0</v>
      </c>
      <c r="D311" s="10">
        <v>14.0</v>
      </c>
      <c r="E311" s="11">
        <v>1.14</v>
      </c>
      <c r="F311" s="12">
        <v>0.0419</v>
      </c>
      <c r="G311" s="10">
        <v>38.0</v>
      </c>
      <c r="H311" s="10">
        <v>5.0</v>
      </c>
      <c r="I311" s="10" t="s">
        <v>9</v>
      </c>
      <c r="J311" s="10" t="s">
        <v>45</v>
      </c>
      <c r="K311" s="10" t="s">
        <v>41</v>
      </c>
      <c r="L311" s="13">
        <v>5.0</v>
      </c>
      <c r="M311" s="13">
        <v>2.0</v>
      </c>
      <c r="N311" s="13" t="s">
        <v>23</v>
      </c>
      <c r="O311" s="13">
        <v>11.0</v>
      </c>
      <c r="P311" s="10" t="s">
        <v>23</v>
      </c>
      <c r="Q311" s="10" t="s">
        <v>23</v>
      </c>
      <c r="R311" s="10"/>
      <c r="S311" s="10" t="s">
        <v>23</v>
      </c>
      <c r="T311" s="10"/>
      <c r="U311" s="10" t="s">
        <v>23</v>
      </c>
    </row>
    <row r="312">
      <c r="A312" s="9" t="str">
        <f>HYPERLINK("https://docs.google.com/spreadsheets/d/1w0I5RoQ7uENhUG1ncC5V9B3b6BQapplx180-f9F9s4w/edit?usp=sharing","Butch Lockley")</f>
        <v>Butch Lockley</v>
      </c>
      <c r="B312" s="10">
        <v>6.0</v>
      </c>
      <c r="C312" s="10">
        <v>16.0</v>
      </c>
      <c r="D312" s="10">
        <v>13.0</v>
      </c>
      <c r="E312" s="11">
        <v>1.23</v>
      </c>
      <c r="F312" s="12">
        <v>0.0329</v>
      </c>
      <c r="G312" s="10">
        <v>37.0</v>
      </c>
      <c r="H312" s="10">
        <v>3.0</v>
      </c>
      <c r="I312" s="10" t="s">
        <v>9</v>
      </c>
      <c r="J312" s="10" t="s">
        <v>37</v>
      </c>
      <c r="K312" s="10" t="s">
        <v>38</v>
      </c>
      <c r="L312" s="13">
        <v>5.0</v>
      </c>
      <c r="M312" s="13">
        <v>3.0</v>
      </c>
      <c r="N312" s="13" t="s">
        <v>23</v>
      </c>
      <c r="O312" s="13">
        <v>10.0</v>
      </c>
      <c r="P312" s="10" t="s">
        <v>23</v>
      </c>
      <c r="Q312" s="10" t="s">
        <v>23</v>
      </c>
      <c r="R312" s="10"/>
      <c r="S312" s="10" t="s">
        <v>23</v>
      </c>
      <c r="T312" s="10"/>
      <c r="U312" s="10" t="s">
        <v>23</v>
      </c>
    </row>
    <row r="313">
      <c r="A313" s="9" t="str">
        <f>HYPERLINK("https://docs.google.com/spreadsheets/d/1X-5lK1sJCBpvE08rC1VdSsGvayqyrC62cK7W45Q4XX8/edit?usp=sharing","Caleb Bankston")</f>
        <v>Caleb Bankston</v>
      </c>
      <c r="B313" s="10">
        <v>27.0</v>
      </c>
      <c r="C313" s="10">
        <v>16.0</v>
      </c>
      <c r="D313" s="10">
        <v>12.0</v>
      </c>
      <c r="E313" s="11">
        <v>1.33</v>
      </c>
      <c r="F313" s="12">
        <v>0.037</v>
      </c>
      <c r="G313" s="10">
        <v>30.0</v>
      </c>
      <c r="H313" s="10">
        <v>5.0</v>
      </c>
      <c r="I313" s="10" t="s">
        <v>9</v>
      </c>
      <c r="J313" s="10" t="s">
        <v>43</v>
      </c>
      <c r="K313" s="10" t="s">
        <v>63</v>
      </c>
      <c r="L313" s="13">
        <v>5.0</v>
      </c>
      <c r="M313" s="13">
        <v>3.0</v>
      </c>
      <c r="N313" s="13" t="s">
        <v>23</v>
      </c>
      <c r="O313" s="13">
        <v>9.0</v>
      </c>
      <c r="P313" s="13" t="s">
        <v>23</v>
      </c>
      <c r="Q313" s="13">
        <v>1.0</v>
      </c>
      <c r="R313" s="13"/>
      <c r="S313" s="10" t="s">
        <v>23</v>
      </c>
      <c r="T313" s="10"/>
      <c r="U313" s="10" t="s">
        <v>23</v>
      </c>
    </row>
    <row r="314">
      <c r="A314" s="15" t="str">
        <f>HYPERLINK("https://docs.google.com/spreadsheets/d/1t379i2CYDM1ZVdZZy_Nj2m3ht6Sp4J68-xZ2v4-PIMo/edit?usp=sharing","Julia Sokolowski")</f>
        <v>Julia Sokolowski</v>
      </c>
      <c r="B314" s="13">
        <v>32.0</v>
      </c>
      <c r="C314" s="13">
        <v>16.0</v>
      </c>
      <c r="D314" s="13">
        <v>11.0</v>
      </c>
      <c r="E314" s="16">
        <v>1.45</v>
      </c>
      <c r="F314" s="17">
        <v>0.0324</v>
      </c>
      <c r="G314" s="13">
        <v>29.0</v>
      </c>
      <c r="H314" s="13">
        <v>3.0</v>
      </c>
      <c r="I314" s="13" t="s">
        <v>9</v>
      </c>
      <c r="J314" s="13" t="s">
        <v>46</v>
      </c>
      <c r="K314" s="13" t="s">
        <v>66</v>
      </c>
      <c r="L314" s="13">
        <v>9.0</v>
      </c>
      <c r="M314" s="13">
        <v>4.0</v>
      </c>
      <c r="N314" s="13">
        <v>1.0</v>
      </c>
      <c r="O314" s="13">
        <v>5.0</v>
      </c>
      <c r="P314" s="13" t="s">
        <v>127</v>
      </c>
      <c r="Q314" s="13" t="s">
        <v>23</v>
      </c>
      <c r="R314" s="13"/>
      <c r="S314" s="13" t="s">
        <v>23</v>
      </c>
      <c r="T314" s="13"/>
      <c r="U314" s="13" t="s">
        <v>23</v>
      </c>
    </row>
    <row r="315">
      <c r="A315" s="9" t="str">
        <f>HYPERLINK("https://docs.google.com/spreadsheets/d/1y7awzkkkaNlh7XKjc44AGriTvqB9H3pVz8cFLyIYdbo/edit?usp=sharing","Jefra Bland")</f>
        <v>Jefra Bland</v>
      </c>
      <c r="B315" s="10">
        <v>28.0</v>
      </c>
      <c r="C315" s="10">
        <v>16.0</v>
      </c>
      <c r="D315" s="10">
        <v>11.0</v>
      </c>
      <c r="E315" s="11">
        <v>1.45</v>
      </c>
      <c r="F315" s="12">
        <v>0.0349</v>
      </c>
      <c r="G315" s="10">
        <v>30.0</v>
      </c>
      <c r="H315" s="10">
        <v>3.0</v>
      </c>
      <c r="I315" s="10" t="s">
        <v>9</v>
      </c>
      <c r="J315" s="10" t="s">
        <v>46</v>
      </c>
      <c r="K315" s="10" t="s">
        <v>66</v>
      </c>
      <c r="L315" s="13">
        <v>9.0</v>
      </c>
      <c r="M315" s="13">
        <v>4.0</v>
      </c>
      <c r="N315" s="13" t="s">
        <v>23</v>
      </c>
      <c r="O315" s="13">
        <v>7.0</v>
      </c>
      <c r="P315" s="10" t="s">
        <v>23</v>
      </c>
      <c r="Q315" s="10" t="s">
        <v>23</v>
      </c>
      <c r="R315" s="10"/>
      <c r="S315" s="10" t="s">
        <v>23</v>
      </c>
      <c r="T315" s="10"/>
      <c r="U315" s="10" t="s">
        <v>23</v>
      </c>
    </row>
    <row r="316">
      <c r="A316" s="15" t="str">
        <f>HYPERLINK("https://docs.google.com/spreadsheets/d/1sWOJC8eB6rVdXdWiWMgfbfgw2325jIh1ODKxyaCmSGc/edit?usp=sharing","Jamie Newton")</f>
        <v>Jamie Newton</v>
      </c>
      <c r="B316" s="13">
        <v>11.0</v>
      </c>
      <c r="C316" s="13">
        <v>16.0</v>
      </c>
      <c r="D316" s="13">
        <v>10.0</v>
      </c>
      <c r="E316" s="16">
        <v>1.6</v>
      </c>
      <c r="F316" s="17">
        <v>0.0363</v>
      </c>
      <c r="G316" s="13">
        <v>27.0</v>
      </c>
      <c r="H316" s="13" t="s">
        <v>23</v>
      </c>
      <c r="I316" s="13" t="s">
        <v>9</v>
      </c>
      <c r="J316" s="13" t="s">
        <v>48</v>
      </c>
      <c r="K316" s="13" t="s">
        <v>47</v>
      </c>
      <c r="L316" s="13">
        <v>3.0</v>
      </c>
      <c r="M316" s="13">
        <v>3.0</v>
      </c>
      <c r="N316" s="13">
        <v>1.0</v>
      </c>
      <c r="O316" s="13">
        <v>7.0</v>
      </c>
      <c r="P316" s="13" t="s">
        <v>23</v>
      </c>
      <c r="Q316" s="13" t="s">
        <v>23</v>
      </c>
      <c r="R316" s="13"/>
      <c r="S316" s="13" t="s">
        <v>23</v>
      </c>
      <c r="T316" s="13" t="s">
        <v>23</v>
      </c>
      <c r="U316" s="13" t="s">
        <v>23</v>
      </c>
    </row>
    <row r="317">
      <c r="A317" s="15" t="str">
        <f>HYPERLINK("https://docs.google.com/spreadsheets/d/1t379i2CYDM1ZVdZZy_Nj2m3ht6Sp4J68-xZ2v4-PIMo/edit?usp=sharing","Neal Gottlieb")</f>
        <v>Neal Gottlieb</v>
      </c>
      <c r="B317" s="13">
        <v>32.0</v>
      </c>
      <c r="C317" s="13">
        <v>16.0</v>
      </c>
      <c r="D317" s="13">
        <v>7.0</v>
      </c>
      <c r="E317" s="16">
        <v>2.29</v>
      </c>
      <c r="F317" s="17">
        <v>0.0324</v>
      </c>
      <c r="G317" s="13">
        <v>19.0</v>
      </c>
      <c r="H317" s="13">
        <v>2.0</v>
      </c>
      <c r="I317" s="13" t="s">
        <v>9</v>
      </c>
      <c r="J317" s="13" t="s">
        <v>84</v>
      </c>
      <c r="K317" s="13" t="s">
        <v>85</v>
      </c>
      <c r="L317" s="13">
        <v>4.0</v>
      </c>
      <c r="M317" s="13">
        <v>5.0</v>
      </c>
      <c r="N317" s="13" t="s">
        <v>23</v>
      </c>
      <c r="O317" s="13">
        <v>1.0</v>
      </c>
      <c r="P317" s="13" t="s">
        <v>23</v>
      </c>
      <c r="Q317" s="13" t="s">
        <v>23</v>
      </c>
      <c r="R317" s="13"/>
      <c r="S317" s="13">
        <v>1.0</v>
      </c>
      <c r="T317" s="13"/>
      <c r="U317" s="13" t="s">
        <v>92</v>
      </c>
    </row>
    <row r="318">
      <c r="A318" s="15" t="str">
        <f>HYPERLINK("https://docs.google.com/spreadsheets/d/1q-5bbq9txg93Y0eUACxRPTIN5PuRjeDVpNDfeXEw4iE/edit?usp=sharing","Alexandrea ""Ali"" Elliot")</f>
        <v>Alexandrea "Ali" Elliot</v>
      </c>
      <c r="B318" s="13">
        <v>35.0</v>
      </c>
      <c r="C318" s="13">
        <v>16.0</v>
      </c>
      <c r="D318" s="13">
        <v>6.0</v>
      </c>
      <c r="E318" s="16">
        <v>2.67</v>
      </c>
      <c r="F318" s="17">
        <v>0.0371</v>
      </c>
      <c r="G318" s="13">
        <v>16.0</v>
      </c>
      <c r="H318" s="13" t="s">
        <v>23</v>
      </c>
      <c r="I318" s="13" t="s">
        <v>42</v>
      </c>
      <c r="J318" s="13" t="s">
        <v>60</v>
      </c>
      <c r="K318" s="13" t="s">
        <v>91</v>
      </c>
      <c r="L318" s="13">
        <v>1.0</v>
      </c>
      <c r="M318" s="13">
        <v>2.0</v>
      </c>
      <c r="N318" s="13" t="s">
        <v>23</v>
      </c>
      <c r="O318" s="13">
        <v>4.0</v>
      </c>
      <c r="P318" s="13" t="s">
        <v>23</v>
      </c>
      <c r="Q318" s="13" t="s">
        <v>23</v>
      </c>
      <c r="R318" s="13"/>
      <c r="S318" s="13" t="s">
        <v>23</v>
      </c>
      <c r="T318" s="13" t="s">
        <v>23</v>
      </c>
      <c r="U318" s="13" t="s">
        <v>23</v>
      </c>
    </row>
    <row r="319">
      <c r="A319" s="9" t="str">
        <f>HYPERLINK("https://docs.google.com/spreadsheets/d/18wmIvmUS3SeZNSPQeUzr6sPl9GBYpVSlOaFR_kJCmKo/edit?usp=sharing","Kimmi Kappenberg")</f>
        <v>Kimmi Kappenberg</v>
      </c>
      <c r="B319" s="10">
        <v>2.0</v>
      </c>
      <c r="C319" s="10">
        <v>16.0</v>
      </c>
      <c r="D319" s="10">
        <v>5.0</v>
      </c>
      <c r="E319" s="11">
        <v>3.2</v>
      </c>
      <c r="F319" s="12">
        <v>0.0285</v>
      </c>
      <c r="G319" s="10">
        <v>15.0</v>
      </c>
      <c r="H319" s="10" t="s">
        <v>23</v>
      </c>
      <c r="I319" s="10" t="s">
        <v>42</v>
      </c>
      <c r="J319" s="10" t="s">
        <v>60</v>
      </c>
      <c r="K319" s="10" t="s">
        <v>106</v>
      </c>
      <c r="L319" s="13">
        <v>2.0</v>
      </c>
      <c r="M319" s="13">
        <v>3.0</v>
      </c>
      <c r="N319" s="13" t="s">
        <v>23</v>
      </c>
      <c r="O319" s="13">
        <v>2.0</v>
      </c>
      <c r="P319" s="10" t="s">
        <v>23</v>
      </c>
      <c r="Q319" s="10" t="s">
        <v>23</v>
      </c>
      <c r="R319" s="10"/>
      <c r="S319" s="10" t="s">
        <v>23</v>
      </c>
      <c r="T319" s="10"/>
      <c r="U319" s="10" t="s">
        <v>23</v>
      </c>
    </row>
    <row r="320">
      <c r="A320" s="9" t="str">
        <f>HYPERLINK("https://docs.google.com/spreadsheets/d/1CcEdjXKuhm6HmXecNbnscxpFab1HRQEjKSDga6QxqAU/edit?usp=sharing","Russell Hantz")</f>
        <v>Russell Hantz</v>
      </c>
      <c r="B320" s="10">
        <v>22.0</v>
      </c>
      <c r="C320" s="10">
        <v>16.0</v>
      </c>
      <c r="D320" s="10">
        <v>4.0</v>
      </c>
      <c r="E320" s="11">
        <v>4.0</v>
      </c>
      <c r="F320" s="12">
        <v>0.0377</v>
      </c>
      <c r="G320" s="10">
        <v>10.0</v>
      </c>
      <c r="H320" s="10">
        <v>1.0</v>
      </c>
      <c r="I320" s="10" t="s">
        <v>42</v>
      </c>
      <c r="J320" s="10" t="s">
        <v>60</v>
      </c>
      <c r="K320" s="10" t="s">
        <v>128</v>
      </c>
      <c r="L320" s="13">
        <v>2.0</v>
      </c>
      <c r="M320" s="13">
        <v>2.0</v>
      </c>
      <c r="N320" s="13" t="s">
        <v>23</v>
      </c>
      <c r="O320" s="13">
        <v>1.0</v>
      </c>
      <c r="P320" s="13" t="s">
        <v>23</v>
      </c>
      <c r="Q320" s="13">
        <v>1.0</v>
      </c>
      <c r="R320" s="13"/>
      <c r="S320" s="10" t="s">
        <v>23</v>
      </c>
      <c r="T320" s="10"/>
      <c r="U320" s="10" t="s">
        <v>23</v>
      </c>
    </row>
    <row r="321">
      <c r="A321" s="9" t="str">
        <f>HYPERLINK("https://docs.google.com/spreadsheets/d/1EsGJrNyA7pLwFUlZ6WfOkbnPz58Cle9N9c6epQSDRVA/edit?usp=sharing","Jeff Varner")</f>
        <v>Jeff Varner</v>
      </c>
      <c r="B321" s="10">
        <v>31.0</v>
      </c>
      <c r="C321" s="10">
        <v>16.0</v>
      </c>
      <c r="D321" s="10">
        <v>4.0</v>
      </c>
      <c r="E321" s="11">
        <v>4.0</v>
      </c>
      <c r="F321" s="12">
        <v>0.0365</v>
      </c>
      <c r="G321" s="10">
        <v>11.0</v>
      </c>
      <c r="H321" s="10" t="s">
        <v>23</v>
      </c>
      <c r="I321" s="10" t="s">
        <v>42</v>
      </c>
      <c r="J321" s="10" t="s">
        <v>60</v>
      </c>
      <c r="K321" s="10" t="s">
        <v>96</v>
      </c>
      <c r="L321" s="13">
        <v>2.0</v>
      </c>
      <c r="M321" s="13" t="s">
        <v>23</v>
      </c>
      <c r="N321" s="13" t="s">
        <v>23</v>
      </c>
      <c r="O321" s="13">
        <v>4.0</v>
      </c>
      <c r="P321" s="10" t="s">
        <v>23</v>
      </c>
      <c r="Q321" s="10" t="s">
        <v>23</v>
      </c>
      <c r="R321" s="10"/>
      <c r="S321" s="10" t="s">
        <v>23</v>
      </c>
      <c r="T321" s="10"/>
      <c r="U321" s="10" t="s">
        <v>23</v>
      </c>
    </row>
    <row r="322">
      <c r="A322" s="18" t="s">
        <v>129</v>
      </c>
      <c r="B322" s="13">
        <v>40.0</v>
      </c>
      <c r="C322" s="13">
        <v>16.0</v>
      </c>
      <c r="D322" s="13">
        <v>7.0</v>
      </c>
      <c r="E322" s="16">
        <v>2.29</v>
      </c>
      <c r="F322" s="17">
        <v>0.0279</v>
      </c>
      <c r="G322" s="13">
        <v>16.0</v>
      </c>
      <c r="H322" s="13">
        <v>2.0</v>
      </c>
      <c r="I322" s="13" t="s">
        <v>42</v>
      </c>
      <c r="J322" s="13" t="s">
        <v>60</v>
      </c>
      <c r="K322" s="13" t="s">
        <v>112</v>
      </c>
      <c r="L322" s="13">
        <v>3.0</v>
      </c>
      <c r="M322" s="13">
        <v>4.0</v>
      </c>
      <c r="N322" s="13" t="s">
        <v>23</v>
      </c>
      <c r="O322" s="13">
        <v>3.0</v>
      </c>
      <c r="P322" s="13" t="s">
        <v>23</v>
      </c>
      <c r="Q322" s="13" t="s">
        <v>23</v>
      </c>
      <c r="R322" s="13">
        <v>1.0</v>
      </c>
      <c r="S322" s="13">
        <v>1.0</v>
      </c>
      <c r="T322" s="13" t="s">
        <v>23</v>
      </c>
      <c r="U322" s="13" t="s">
        <v>130</v>
      </c>
    </row>
    <row r="323">
      <c r="A323" s="9" t="str">
        <f>HYPERLINK("https://docs.google.com/spreadsheets/d/1CcEdjXKuhm6HmXecNbnscxpFab1HRQEjKSDga6QxqAU/edit?usp=sharing","Grant Mattos")</f>
        <v>Grant Mattos</v>
      </c>
      <c r="B323" s="10">
        <v>22.0</v>
      </c>
      <c r="C323" s="10">
        <v>15.0</v>
      </c>
      <c r="D323" s="10">
        <v>14.0</v>
      </c>
      <c r="E323" s="11">
        <v>1.07</v>
      </c>
      <c r="F323" s="12">
        <v>0.0354</v>
      </c>
      <c r="G323" s="10">
        <v>36.0</v>
      </c>
      <c r="H323" s="10">
        <v>4.0</v>
      </c>
      <c r="I323" s="10" t="s">
        <v>9</v>
      </c>
      <c r="J323" s="10" t="s">
        <v>46</v>
      </c>
      <c r="K323" s="10" t="s">
        <v>47</v>
      </c>
      <c r="L323" s="13">
        <v>7.0</v>
      </c>
      <c r="M323" s="13">
        <v>4.0</v>
      </c>
      <c r="N323" s="13">
        <v>2.0</v>
      </c>
      <c r="O323" s="13">
        <v>11.0</v>
      </c>
      <c r="P323" s="13" t="s">
        <v>23</v>
      </c>
      <c r="Q323" s="13">
        <v>1.0</v>
      </c>
      <c r="R323" s="13"/>
      <c r="S323" s="10" t="s">
        <v>23</v>
      </c>
      <c r="T323" s="10"/>
      <c r="U323" s="10" t="s">
        <v>23</v>
      </c>
    </row>
    <row r="324">
      <c r="A324" s="9" t="str">
        <f>HYPERLINK("https://docs.google.com/spreadsheets/d/1LR80O0PvsOvoTuN5gHQd3Rls4b1rZmJd7EZ_DR2oRHs/edit?usp=sharing","Erik Reichenbach")</f>
        <v>Erik Reichenbach</v>
      </c>
      <c r="B324" s="10">
        <v>26.0</v>
      </c>
      <c r="C324" s="10">
        <v>15.0</v>
      </c>
      <c r="D324" s="10">
        <v>14.0</v>
      </c>
      <c r="E324" s="11">
        <v>1.07</v>
      </c>
      <c r="F324" s="12">
        <v>0.0363</v>
      </c>
      <c r="G324" s="10">
        <v>36.0</v>
      </c>
      <c r="H324" s="10">
        <v>7.0</v>
      </c>
      <c r="I324" s="10" t="s">
        <v>9</v>
      </c>
      <c r="J324" s="10" t="s">
        <v>24</v>
      </c>
      <c r="K324" s="10" t="s">
        <v>67</v>
      </c>
      <c r="L324" s="13">
        <v>11.0</v>
      </c>
      <c r="M324" s="13">
        <v>5.0</v>
      </c>
      <c r="N324" s="13">
        <v>1.0</v>
      </c>
      <c r="O324" s="13">
        <v>9.0</v>
      </c>
      <c r="P324" s="10" t="s">
        <v>23</v>
      </c>
      <c r="Q324" s="10" t="s">
        <v>23</v>
      </c>
      <c r="R324" s="10"/>
      <c r="S324" s="10">
        <v>1.0</v>
      </c>
      <c r="T324" s="10"/>
      <c r="U324" s="10" t="s">
        <v>92</v>
      </c>
    </row>
    <row r="325">
      <c r="A325" s="15" t="str">
        <f>HYPERLINK("https://docs.google.com/spreadsheets/d/1Hf_PbZTXAuooCoiF7c3Bz80t5-zCjdWHF8wQ_HyodNs/edit?usp=sharing","Angela Perkins")</f>
        <v>Angela Perkins</v>
      </c>
      <c r="B325" s="13">
        <v>36.0</v>
      </c>
      <c r="C325" s="13">
        <v>15.0</v>
      </c>
      <c r="D325" s="13">
        <v>14.0</v>
      </c>
      <c r="E325" s="16">
        <v>1.07</v>
      </c>
      <c r="F325" s="17">
        <v>0.0382</v>
      </c>
      <c r="G325" s="13">
        <v>38.0</v>
      </c>
      <c r="H325" s="13">
        <v>8.0</v>
      </c>
      <c r="I325" s="13" t="s">
        <v>9</v>
      </c>
      <c r="J325" s="13" t="s">
        <v>54</v>
      </c>
      <c r="K325" s="13" t="s">
        <v>55</v>
      </c>
      <c r="L325" s="13">
        <v>6.0</v>
      </c>
      <c r="M325" s="13">
        <v>5.0</v>
      </c>
      <c r="N325" s="13">
        <v>1.0</v>
      </c>
      <c r="O325" s="13">
        <v>11.0</v>
      </c>
      <c r="P325" s="13">
        <v>1.0</v>
      </c>
      <c r="Q325" s="13" t="s">
        <v>23</v>
      </c>
      <c r="R325" s="13"/>
      <c r="S325" s="13" t="s">
        <v>23</v>
      </c>
      <c r="T325" s="13" t="s">
        <v>23</v>
      </c>
      <c r="U325" s="13" t="s">
        <v>23</v>
      </c>
    </row>
    <row r="326">
      <c r="A326" s="9" t="str">
        <f>HYPERLINK("https://docs.google.com/spreadsheets/d/1v6gXy2rHfH0CkzT8zUZyZm6b-WimbnBspkh1B5hksu4/edit?usp=sharing","Kat Edorsson")</f>
        <v>Kat Edorsson</v>
      </c>
      <c r="B326" s="10">
        <v>24.0</v>
      </c>
      <c r="C326" s="10">
        <v>15.0</v>
      </c>
      <c r="D326" s="10">
        <v>12.0</v>
      </c>
      <c r="E326" s="11">
        <v>1.25</v>
      </c>
      <c r="F326" s="12">
        <v>0.0393</v>
      </c>
      <c r="G326" s="10">
        <v>33.0</v>
      </c>
      <c r="H326" s="10">
        <v>5.0</v>
      </c>
      <c r="I326" s="10" t="s">
        <v>9</v>
      </c>
      <c r="J326" s="10" t="s">
        <v>37</v>
      </c>
      <c r="K326" s="10" t="s">
        <v>66</v>
      </c>
      <c r="L326" s="13">
        <v>8.0</v>
      </c>
      <c r="M326" s="13">
        <v>3.0</v>
      </c>
      <c r="N326" s="13" t="s">
        <v>23</v>
      </c>
      <c r="O326" s="13">
        <v>7.0</v>
      </c>
      <c r="P326" s="10" t="s">
        <v>23</v>
      </c>
      <c r="Q326" s="10" t="s">
        <v>23</v>
      </c>
      <c r="R326" s="10"/>
      <c r="S326" s="10" t="s">
        <v>23</v>
      </c>
      <c r="T326" s="10"/>
      <c r="U326" s="10" t="s">
        <v>23</v>
      </c>
    </row>
    <row r="327">
      <c r="A327" s="15" t="str">
        <f>HYPERLINK("https://docs.google.com/spreadsheets/d/1d8Hzm_QCJnDef8NF_dVYBZLjLjFI3Fl8Yt14m8Zhn8Y/edit?usp=sharing","Janu Tornell")</f>
        <v>Janu Tornell</v>
      </c>
      <c r="B327" s="13">
        <v>10.0</v>
      </c>
      <c r="C327" s="13">
        <v>15.0</v>
      </c>
      <c r="D327" s="13">
        <v>10.0</v>
      </c>
      <c r="E327" s="16">
        <v>1.5</v>
      </c>
      <c r="F327" s="17">
        <v>0.0351</v>
      </c>
      <c r="G327" s="13">
        <v>27.0</v>
      </c>
      <c r="H327" s="13">
        <v>5.0</v>
      </c>
      <c r="I327" s="13" t="s">
        <v>42</v>
      </c>
      <c r="J327" s="13" t="s">
        <v>48</v>
      </c>
      <c r="K327" s="13" t="s">
        <v>71</v>
      </c>
      <c r="L327" s="13">
        <v>7.0</v>
      </c>
      <c r="M327" s="13">
        <v>7.0</v>
      </c>
      <c r="N327" s="13" t="s">
        <v>23</v>
      </c>
      <c r="O327" s="13">
        <v>3.0</v>
      </c>
      <c r="P327" s="13">
        <v>1.0</v>
      </c>
      <c r="Q327" s="13" t="s">
        <v>23</v>
      </c>
      <c r="R327" s="13"/>
      <c r="S327" s="13" t="s">
        <v>23</v>
      </c>
      <c r="T327" s="13" t="s">
        <v>23</v>
      </c>
      <c r="U327" s="13" t="s">
        <v>64</v>
      </c>
    </row>
    <row r="328">
      <c r="A328" s="15" t="str">
        <f>HYPERLINK("https://docs.google.com/spreadsheets/d/1yi_HtvN4TS5uRWCCFJg5RFaoouiIIe8CAtY_XnqP6iM/edit?usp=sharing","Chad Crittenden")</f>
        <v>Chad Crittenden</v>
      </c>
      <c r="B328" s="13">
        <v>9.0</v>
      </c>
      <c r="C328" s="13">
        <v>15.0</v>
      </c>
      <c r="D328" s="13">
        <v>10.0</v>
      </c>
      <c r="E328" s="16">
        <v>1.5</v>
      </c>
      <c r="F328" s="17">
        <v>0.0358</v>
      </c>
      <c r="G328" s="13">
        <v>27.0</v>
      </c>
      <c r="H328" s="13">
        <v>2.0</v>
      </c>
      <c r="I328" s="13" t="s">
        <v>9</v>
      </c>
      <c r="J328" s="13" t="s">
        <v>48</v>
      </c>
      <c r="K328" s="13" t="s">
        <v>47</v>
      </c>
      <c r="L328" s="13">
        <v>5.0</v>
      </c>
      <c r="M328" s="13">
        <v>3.0</v>
      </c>
      <c r="N328" s="13" t="s">
        <v>23</v>
      </c>
      <c r="O328" s="13">
        <v>7.0</v>
      </c>
      <c r="P328" s="10" t="s">
        <v>23</v>
      </c>
      <c r="Q328" s="10" t="s">
        <v>23</v>
      </c>
      <c r="R328" s="10"/>
      <c r="S328" s="10" t="s">
        <v>23</v>
      </c>
      <c r="T328" s="10"/>
      <c r="U328" s="10" t="s">
        <v>23</v>
      </c>
    </row>
    <row r="329">
      <c r="A329" s="9" t="str">
        <f>HYPERLINK("https://docs.google.com/spreadsheets/d/1y7awzkkkaNlh7XKjc44AGriTvqB9H3pVz8cFLyIYdbo/edit?usp=sharing","Morgan McLeod")</f>
        <v>Morgan McLeod</v>
      </c>
      <c r="B329" s="10">
        <v>28.0</v>
      </c>
      <c r="C329" s="10">
        <v>15.0</v>
      </c>
      <c r="D329" s="10">
        <v>8.0</v>
      </c>
      <c r="E329" s="11">
        <v>1.88</v>
      </c>
      <c r="F329" s="12">
        <v>0.0327</v>
      </c>
      <c r="G329" s="10">
        <v>22.0</v>
      </c>
      <c r="H329" s="10">
        <v>2.0</v>
      </c>
      <c r="I329" s="10" t="s">
        <v>9</v>
      </c>
      <c r="J329" s="10" t="s">
        <v>48</v>
      </c>
      <c r="K329" s="10" t="s">
        <v>68</v>
      </c>
      <c r="L329" s="13">
        <v>5.0</v>
      </c>
      <c r="M329" s="13">
        <v>4.0</v>
      </c>
      <c r="N329" s="13" t="s">
        <v>23</v>
      </c>
      <c r="O329" s="13">
        <v>4.0</v>
      </c>
      <c r="P329" s="10" t="s">
        <v>23</v>
      </c>
      <c r="Q329" s="10" t="s">
        <v>23</v>
      </c>
      <c r="R329" s="10"/>
      <c r="S329" s="10" t="s">
        <v>23</v>
      </c>
      <c r="T329" s="10"/>
      <c r="U329" s="10" t="s">
        <v>23</v>
      </c>
    </row>
    <row r="330">
      <c r="A330" s="19" t="str">
        <f>HYPERLINK("https://docs.google.com/spreadsheets/d/1TniiK35-AGMNddj9lkge_tT9QfOGXMfX2thnTv8npTo/edit?usp=sharing","Erin Collins")</f>
        <v>Erin Collins</v>
      </c>
      <c r="B330" s="20">
        <v>5.0</v>
      </c>
      <c r="C330" s="21">
        <v>15.0</v>
      </c>
      <c r="D330" s="20">
        <v>8.0</v>
      </c>
      <c r="E330" s="22">
        <v>1.88</v>
      </c>
      <c r="F330" s="14">
        <v>0.0311</v>
      </c>
      <c r="G330" s="21">
        <v>24.0</v>
      </c>
      <c r="H330" s="21">
        <v>1.0</v>
      </c>
      <c r="I330" s="10" t="s">
        <v>42</v>
      </c>
      <c r="J330" s="21" t="s">
        <v>84</v>
      </c>
      <c r="K330" s="20" t="s">
        <v>87</v>
      </c>
      <c r="L330" s="13">
        <v>5.0</v>
      </c>
      <c r="M330" s="13">
        <v>3.0</v>
      </c>
      <c r="N330" s="13" t="s">
        <v>23</v>
      </c>
      <c r="O330" s="13">
        <v>5.0</v>
      </c>
      <c r="P330" s="10" t="s">
        <v>23</v>
      </c>
      <c r="Q330" s="10" t="s">
        <v>23</v>
      </c>
      <c r="R330" s="10"/>
      <c r="S330" s="10" t="s">
        <v>23</v>
      </c>
      <c r="T330" s="10"/>
      <c r="U330" s="10" t="s">
        <v>23</v>
      </c>
    </row>
    <row r="331">
      <c r="A331" s="9" t="str">
        <f>HYPERLINK("https://docs.google.com/spreadsheets/d/1CcEdjXKuhm6HmXecNbnscxpFab1HRQEjKSDga6QxqAU/edit?usp=sharing","Stephanie Valencia")</f>
        <v>Stephanie Valencia</v>
      </c>
      <c r="B331" s="10">
        <v>22.0</v>
      </c>
      <c r="C331" s="10">
        <v>15.0</v>
      </c>
      <c r="D331" s="10">
        <v>7.0</v>
      </c>
      <c r="E331" s="11">
        <v>2.14</v>
      </c>
      <c r="F331" s="12">
        <v>0.0354</v>
      </c>
      <c r="G331" s="10">
        <v>17.0</v>
      </c>
      <c r="H331" s="10">
        <v>2.0</v>
      </c>
      <c r="I331" s="10" t="s">
        <v>42</v>
      </c>
      <c r="J331" s="10" t="s">
        <v>60</v>
      </c>
      <c r="K331" s="10" t="s">
        <v>114</v>
      </c>
      <c r="L331" s="13">
        <v>3.0</v>
      </c>
      <c r="M331" s="13">
        <v>3.0</v>
      </c>
      <c r="N331" s="13" t="s">
        <v>23</v>
      </c>
      <c r="O331" s="13">
        <v>3.0</v>
      </c>
      <c r="P331" s="13" t="s">
        <v>23</v>
      </c>
      <c r="Q331" s="13">
        <v>1.0</v>
      </c>
      <c r="R331" s="13"/>
      <c r="S331" s="10" t="s">
        <v>23</v>
      </c>
      <c r="T331" s="10"/>
      <c r="U331" s="10" t="s">
        <v>23</v>
      </c>
    </row>
    <row r="332">
      <c r="A332" s="15" t="str">
        <f>HYPERLINK("https://docs.google.com/spreadsheets/d/1ZajpFwOHrMmupCcACeLhLTzPOwhTrjKRR1FJtUgeLww/edit?usp=sharing","Michaela Bradshaw")</f>
        <v>Michaela Bradshaw</v>
      </c>
      <c r="B332" s="13">
        <v>33.0</v>
      </c>
      <c r="C332" s="13">
        <v>15.0</v>
      </c>
      <c r="D332" s="13">
        <v>7.0</v>
      </c>
      <c r="E332" s="16">
        <v>2.14</v>
      </c>
      <c r="F332" s="17">
        <v>0.0345</v>
      </c>
      <c r="G332" s="13">
        <v>20.0</v>
      </c>
      <c r="H332" s="13" t="s">
        <v>23</v>
      </c>
      <c r="I332" s="13" t="s">
        <v>42</v>
      </c>
      <c r="J332" s="13" t="s">
        <v>60</v>
      </c>
      <c r="K332" s="13" t="s">
        <v>111</v>
      </c>
      <c r="L332" s="13">
        <v>4.0</v>
      </c>
      <c r="M332" s="13">
        <v>5.0</v>
      </c>
      <c r="N332" s="13" t="s">
        <v>23</v>
      </c>
      <c r="O332" s="13">
        <v>2.0</v>
      </c>
      <c r="P332" s="13" t="s">
        <v>23</v>
      </c>
      <c r="Q332" s="13" t="s">
        <v>23</v>
      </c>
      <c r="R332" s="13"/>
      <c r="S332" s="13" t="s">
        <v>23</v>
      </c>
      <c r="T332" s="13" t="s">
        <v>23</v>
      </c>
      <c r="U332" s="13" t="s">
        <v>23</v>
      </c>
    </row>
    <row r="333">
      <c r="A333" s="15" t="str">
        <f>HYPERLINK("https://docs.google.com/spreadsheets/d/1t379i2CYDM1ZVdZZy_Nj2m3ht6Sp4J68-xZ2v4-PIMo/edit?usp=sharing","Alecia Holden")</f>
        <v>Alecia Holden</v>
      </c>
      <c r="B333" s="13">
        <v>32.0</v>
      </c>
      <c r="C333" s="13">
        <v>15.0</v>
      </c>
      <c r="D333" s="13">
        <v>4.0</v>
      </c>
      <c r="E333" s="16">
        <v>3.75</v>
      </c>
      <c r="F333" s="17">
        <v>0.0304</v>
      </c>
      <c r="G333" s="13">
        <v>11.0</v>
      </c>
      <c r="H333" s="13" t="s">
        <v>23</v>
      </c>
      <c r="I333" s="13" t="s">
        <v>42</v>
      </c>
      <c r="J333" s="13" t="s">
        <v>60</v>
      </c>
      <c r="K333" s="13" t="s">
        <v>114</v>
      </c>
      <c r="L333" s="13">
        <v>1.0</v>
      </c>
      <c r="M333" s="13">
        <v>1.0</v>
      </c>
      <c r="N333" s="13" t="s">
        <v>23</v>
      </c>
      <c r="O333" s="13">
        <v>3.0</v>
      </c>
      <c r="P333" s="13" t="s">
        <v>23</v>
      </c>
      <c r="Q333" s="13" t="s">
        <v>23</v>
      </c>
      <c r="R333" s="13"/>
      <c r="S333" s="13" t="s">
        <v>23</v>
      </c>
      <c r="T333" s="13"/>
      <c r="U333" s="13" t="s">
        <v>23</v>
      </c>
    </row>
    <row r="334">
      <c r="A334" s="9" t="str">
        <f>HYPERLINK("https://docs.google.com/spreadsheets/d/1X-5lK1sJCBpvE08rC1VdSsGvayqyrC62cK7W45Q4XX8/edit?usp=sharing","Colton Cumbie")</f>
        <v>Colton Cumbie</v>
      </c>
      <c r="B334" s="10">
        <v>27.0</v>
      </c>
      <c r="C334" s="10">
        <v>15.0</v>
      </c>
      <c r="D334" s="10">
        <v>3.0</v>
      </c>
      <c r="E334" s="11">
        <v>5.0</v>
      </c>
      <c r="F334" s="12">
        <v>0.0346</v>
      </c>
      <c r="G334" s="10">
        <v>7.0</v>
      </c>
      <c r="H334" s="10" t="s">
        <v>23</v>
      </c>
      <c r="I334" s="10" t="s">
        <v>42</v>
      </c>
      <c r="J334" s="10" t="s">
        <v>60</v>
      </c>
      <c r="K334" s="10" t="s">
        <v>131</v>
      </c>
      <c r="L334" s="13">
        <v>2.0</v>
      </c>
      <c r="M334" s="13">
        <v>2.0</v>
      </c>
      <c r="N334" s="13" t="s">
        <v>23</v>
      </c>
      <c r="O334" s="13" t="s">
        <v>23</v>
      </c>
      <c r="P334" s="13" t="s">
        <v>23</v>
      </c>
      <c r="Q334" s="13" t="s">
        <v>23</v>
      </c>
      <c r="R334" s="13"/>
      <c r="S334" s="10" t="s">
        <v>23</v>
      </c>
      <c r="T334" s="10"/>
      <c r="U334" s="10" t="s">
        <v>64</v>
      </c>
    </row>
    <row r="335">
      <c r="A335" s="15" t="str">
        <f>HYPERLINK("https://docs.google.com/spreadsheets/d/1Hf_PbZTXAuooCoiF7c3Bz80t5-zCjdWHF8wQ_HyodNs/edit?usp=sharing","Jacob Derwin")</f>
        <v>Jacob Derwin</v>
      </c>
      <c r="B335" s="13">
        <v>36.0</v>
      </c>
      <c r="C335" s="13">
        <v>15.0</v>
      </c>
      <c r="D335" s="13">
        <v>2.0</v>
      </c>
      <c r="E335" s="16">
        <v>7.5</v>
      </c>
      <c r="F335" s="17">
        <v>0.0382</v>
      </c>
      <c r="G335" s="13">
        <v>6.0</v>
      </c>
      <c r="H335" s="13" t="s">
        <v>23</v>
      </c>
      <c r="I335" s="13" t="s">
        <v>42</v>
      </c>
      <c r="J335" s="13" t="s">
        <v>60</v>
      </c>
      <c r="K335" s="13" t="s">
        <v>131</v>
      </c>
      <c r="L335" s="13">
        <v>1.0</v>
      </c>
      <c r="M335" s="13" t="s">
        <v>23</v>
      </c>
      <c r="N335" s="13" t="s">
        <v>23</v>
      </c>
      <c r="O335" s="13">
        <v>1.0</v>
      </c>
      <c r="P335" s="13">
        <v>1.0</v>
      </c>
      <c r="Q335" s="13" t="s">
        <v>23</v>
      </c>
      <c r="R335" s="13"/>
      <c r="S335" s="13" t="s">
        <v>23</v>
      </c>
      <c r="T335" s="13">
        <v>1.0</v>
      </c>
      <c r="U335" s="13" t="s">
        <v>23</v>
      </c>
    </row>
    <row r="336">
      <c r="A336" s="18" t="s">
        <v>132</v>
      </c>
      <c r="B336" s="13">
        <v>40.0</v>
      </c>
      <c r="C336" s="13">
        <v>15.0</v>
      </c>
      <c r="D336" s="13">
        <v>15.0</v>
      </c>
      <c r="E336" s="16">
        <v>1.0</v>
      </c>
      <c r="F336" s="17">
        <v>0.0262</v>
      </c>
      <c r="G336" s="13" t="s">
        <v>133</v>
      </c>
      <c r="H336" s="13">
        <v>7.0</v>
      </c>
      <c r="I336" s="13" t="s">
        <v>42</v>
      </c>
      <c r="J336" s="13" t="s">
        <v>48</v>
      </c>
      <c r="K336" s="13" t="s">
        <v>131</v>
      </c>
      <c r="L336" s="13" t="s">
        <v>23</v>
      </c>
      <c r="M336" s="13">
        <v>1.0</v>
      </c>
      <c r="N336" s="13" t="s">
        <v>23</v>
      </c>
      <c r="O336" s="13">
        <v>2.0</v>
      </c>
      <c r="P336" s="13" t="s">
        <v>23</v>
      </c>
      <c r="Q336" s="13" t="s">
        <v>23</v>
      </c>
      <c r="R336" s="13">
        <v>1.0</v>
      </c>
      <c r="S336" s="13" t="s">
        <v>23</v>
      </c>
      <c r="T336" s="13" t="s">
        <v>23</v>
      </c>
      <c r="U336" s="13" t="s">
        <v>23</v>
      </c>
    </row>
    <row r="337">
      <c r="A337" s="15" t="str">
        <f>HYPERLINK("https://docs.google.com/spreadsheets/d/1tElnwN2HVf964gGw8Ei53RyfjarS40wkDY3zivAPWp0/edit?usp=sharing","Troyzan Robertson")</f>
        <v>Troyzan Robertson</v>
      </c>
      <c r="B337" s="13">
        <v>34.0</v>
      </c>
      <c r="C337" s="13">
        <v>14.0</v>
      </c>
      <c r="D337" s="13">
        <v>14.0</v>
      </c>
      <c r="E337" s="16">
        <v>1.0</v>
      </c>
      <c r="F337" s="17">
        <v>0.034</v>
      </c>
      <c r="G337" s="13">
        <v>39.0</v>
      </c>
      <c r="H337" s="13">
        <v>7.0</v>
      </c>
      <c r="I337" s="13" t="s">
        <v>9</v>
      </c>
      <c r="J337" s="13" t="s">
        <v>33</v>
      </c>
      <c r="K337" s="13" t="s">
        <v>62</v>
      </c>
      <c r="L337" s="13">
        <v>5.0</v>
      </c>
      <c r="M337" s="13">
        <v>5.0</v>
      </c>
      <c r="N337" s="13">
        <v>1.0</v>
      </c>
      <c r="O337" s="13">
        <v>13.0</v>
      </c>
      <c r="P337" s="13" t="s">
        <v>23</v>
      </c>
      <c r="Q337" s="13" t="s">
        <v>23</v>
      </c>
      <c r="R337" s="13"/>
      <c r="S337" s="13">
        <v>1.0</v>
      </c>
      <c r="T337" s="13" t="s">
        <v>23</v>
      </c>
      <c r="U337" s="13" t="s">
        <v>23</v>
      </c>
    </row>
    <row r="338">
      <c r="A338" s="9" t="str">
        <f>HYPERLINK("https://docs.google.com/spreadsheets/d/1CcEdjXKuhm6HmXecNbnscxpFab1HRQEjKSDga6QxqAU/edit?usp=sharing","Natalie Tenerelli")</f>
        <v>Natalie Tenerelli</v>
      </c>
      <c r="B338" s="10">
        <v>22.0</v>
      </c>
      <c r="C338" s="10">
        <v>14.0</v>
      </c>
      <c r="D338" s="10">
        <v>14.0</v>
      </c>
      <c r="E338" s="11">
        <v>1.0</v>
      </c>
      <c r="F338" s="12">
        <v>0.033</v>
      </c>
      <c r="G338" s="10">
        <v>39.0</v>
      </c>
      <c r="H338" s="10">
        <v>8.0</v>
      </c>
      <c r="I338" s="10" t="s">
        <v>9</v>
      </c>
      <c r="J338" s="10" t="s">
        <v>33</v>
      </c>
      <c r="K338" s="10" t="s">
        <v>34</v>
      </c>
      <c r="L338" s="13">
        <v>7.0</v>
      </c>
      <c r="M338" s="13">
        <v>4.0</v>
      </c>
      <c r="N338" s="13">
        <v>1.0</v>
      </c>
      <c r="O338" s="13">
        <v>14.0</v>
      </c>
      <c r="P338" s="13" t="s">
        <v>23</v>
      </c>
      <c r="Q338" s="13" t="s">
        <v>23</v>
      </c>
      <c r="R338" s="13"/>
      <c r="S338" s="10" t="s">
        <v>23</v>
      </c>
      <c r="T338" s="10"/>
      <c r="U338" s="10" t="s">
        <v>23</v>
      </c>
    </row>
    <row r="339">
      <c r="A339" s="15" t="str">
        <f>HYPERLINK("https://docs.google.com/spreadsheets/d/1Hf_PbZTXAuooCoiF7c3Bz80t5-zCjdWHF8wQ_HyodNs/edit?usp=sharing","Desiree Afuye")</f>
        <v>Desiree Afuye</v>
      </c>
      <c r="B339" s="13">
        <v>36.0</v>
      </c>
      <c r="C339" s="13">
        <v>14.0</v>
      </c>
      <c r="D339" s="13">
        <v>10.0</v>
      </c>
      <c r="E339" s="16">
        <v>1.4</v>
      </c>
      <c r="F339" s="17">
        <v>0.0356</v>
      </c>
      <c r="G339" s="13">
        <v>27.0</v>
      </c>
      <c r="H339" s="13"/>
      <c r="I339" s="13" t="s">
        <v>9</v>
      </c>
      <c r="J339" s="13" t="s">
        <v>43</v>
      </c>
      <c r="K339" s="13" t="s">
        <v>69</v>
      </c>
      <c r="L339" s="13">
        <v>3.0</v>
      </c>
      <c r="M339" s="13">
        <v>4.0</v>
      </c>
      <c r="N339" s="13" t="s">
        <v>23</v>
      </c>
      <c r="O339" s="13">
        <v>6.0</v>
      </c>
      <c r="P339" s="13" t="s">
        <v>23</v>
      </c>
      <c r="Q339" s="13" t="s">
        <v>23</v>
      </c>
      <c r="R339" s="13"/>
      <c r="S339" s="13" t="s">
        <v>23</v>
      </c>
      <c r="T339" s="13" t="s">
        <v>23</v>
      </c>
      <c r="U339" s="13" t="s">
        <v>23</v>
      </c>
    </row>
    <row r="340">
      <c r="A340" s="9" t="str">
        <f>HYPERLINK("https://docs.google.com/spreadsheets/d/1LR80O0PvsOvoTuN5gHQd3Rls4b1rZmJd7EZ_DR2oRHs/edit?usp=sharing","Michael Snow")</f>
        <v>Michael Snow</v>
      </c>
      <c r="B340" s="10">
        <v>26.0</v>
      </c>
      <c r="C340" s="10">
        <v>14.0</v>
      </c>
      <c r="D340" s="10">
        <v>9.0</v>
      </c>
      <c r="E340" s="11">
        <v>1.56</v>
      </c>
      <c r="F340" s="12">
        <v>0.0339</v>
      </c>
      <c r="G340" s="10">
        <v>25.0</v>
      </c>
      <c r="H340" s="10">
        <v>3.0</v>
      </c>
      <c r="I340" s="10" t="s">
        <v>9</v>
      </c>
      <c r="J340" s="10" t="s">
        <v>84</v>
      </c>
      <c r="K340" s="10" t="s">
        <v>69</v>
      </c>
      <c r="L340" s="13">
        <v>2.0</v>
      </c>
      <c r="M340" s="13">
        <v>2.0</v>
      </c>
      <c r="N340" s="13" t="s">
        <v>23</v>
      </c>
      <c r="O340" s="13">
        <v>7.0</v>
      </c>
      <c r="P340" s="10" t="s">
        <v>23</v>
      </c>
      <c r="Q340" s="10" t="s">
        <v>23</v>
      </c>
      <c r="R340" s="10"/>
      <c r="S340" s="10" t="s">
        <v>23</v>
      </c>
      <c r="T340" s="10"/>
      <c r="U340" s="10" t="s">
        <v>23</v>
      </c>
    </row>
    <row r="341">
      <c r="A341" s="9" t="str">
        <f>HYPERLINK("https://docs.google.com/spreadsheets/d/1HA0vQC0CSnQtVc8u58vwNd3sIFCc79SKVqM1abMG1hI/edit?usp=sharing","Hali Ford")</f>
        <v>Hali Ford</v>
      </c>
      <c r="B341" s="10">
        <v>30.0</v>
      </c>
      <c r="C341" s="10">
        <v>14.0</v>
      </c>
      <c r="D341" s="10">
        <v>8.0</v>
      </c>
      <c r="E341" s="11">
        <v>1.75</v>
      </c>
      <c r="F341" s="12">
        <v>0.0306</v>
      </c>
      <c r="G341" s="10">
        <v>22.0</v>
      </c>
      <c r="H341" s="10" t="s">
        <v>23</v>
      </c>
      <c r="I341" s="10" t="s">
        <v>9</v>
      </c>
      <c r="J341" s="10" t="s">
        <v>84</v>
      </c>
      <c r="K341" s="10" t="s">
        <v>85</v>
      </c>
      <c r="L341" s="13">
        <v>4.0</v>
      </c>
      <c r="M341" s="13">
        <v>3.0</v>
      </c>
      <c r="N341" s="13" t="s">
        <v>23</v>
      </c>
      <c r="O341" s="13">
        <v>5.0</v>
      </c>
      <c r="P341" s="10" t="s">
        <v>23</v>
      </c>
      <c r="Q341" s="10" t="s">
        <v>23</v>
      </c>
      <c r="R341" s="10"/>
      <c r="S341" s="10" t="s">
        <v>23</v>
      </c>
      <c r="T341" s="10"/>
      <c r="U341" s="10" t="s">
        <v>23</v>
      </c>
    </row>
    <row r="342">
      <c r="A342" s="9" t="str">
        <f>HYPERLINK("https://docs.google.com/spreadsheets/d/1w0I5RoQ7uENhUG1ncC5V9B3b6BQapplx180-f9F9s4w/edit?usp=sharing","Roger Sexton")</f>
        <v>Roger Sexton</v>
      </c>
      <c r="B342" s="10">
        <v>6.0</v>
      </c>
      <c r="C342" s="10">
        <v>14.0</v>
      </c>
      <c r="D342" s="10">
        <v>7.0</v>
      </c>
      <c r="E342" s="11">
        <v>2.0</v>
      </c>
      <c r="F342" s="12">
        <v>0.0288</v>
      </c>
      <c r="G342" s="10">
        <v>21.0</v>
      </c>
      <c r="H342" s="10">
        <v>1.0</v>
      </c>
      <c r="I342" s="10" t="s">
        <v>9</v>
      </c>
      <c r="J342" s="10" t="s">
        <v>60</v>
      </c>
      <c r="K342" s="10" t="s">
        <v>61</v>
      </c>
      <c r="L342" s="13">
        <v>3.0</v>
      </c>
      <c r="M342" s="13">
        <v>3.0</v>
      </c>
      <c r="N342" s="13" t="s">
        <v>23</v>
      </c>
      <c r="O342" s="13">
        <v>4.0</v>
      </c>
      <c r="P342" s="10" t="s">
        <v>23</v>
      </c>
      <c r="Q342" s="10" t="s">
        <v>23</v>
      </c>
      <c r="R342" s="10"/>
      <c r="S342" s="10" t="s">
        <v>23</v>
      </c>
      <c r="T342" s="10"/>
      <c r="U342" s="10" t="s">
        <v>23</v>
      </c>
    </row>
    <row r="343">
      <c r="A343" s="15" t="str">
        <f>HYPERLINK("https://docs.google.com/spreadsheets/d/1VEbyebFdBtPJKQC_U2uGrW6_v1fn6Hsoz3YYLyCxHR0/edit?usp=sharing","Nick Stanbury")</f>
        <v>Nick Stanbury</v>
      </c>
      <c r="B343" s="13">
        <v>12.0</v>
      </c>
      <c r="C343" s="13">
        <v>14.0</v>
      </c>
      <c r="D343" s="13">
        <v>7.0</v>
      </c>
      <c r="E343" s="16">
        <v>2.0</v>
      </c>
      <c r="F343" s="17">
        <v>0.0521</v>
      </c>
      <c r="G343" s="13">
        <v>18.0</v>
      </c>
      <c r="H343" s="13" t="s">
        <v>23</v>
      </c>
      <c r="I343" s="13" t="s">
        <v>9</v>
      </c>
      <c r="J343" s="13" t="s">
        <v>60</v>
      </c>
      <c r="K343" s="13" t="s">
        <v>61</v>
      </c>
      <c r="L343" s="13">
        <v>4.0</v>
      </c>
      <c r="M343" s="13">
        <v>3.0</v>
      </c>
      <c r="N343" s="13" t="s">
        <v>23</v>
      </c>
      <c r="O343" s="13">
        <v>4.0</v>
      </c>
      <c r="P343" s="13" t="s">
        <v>23</v>
      </c>
      <c r="Q343" s="13" t="s">
        <v>23</v>
      </c>
      <c r="R343" s="13"/>
      <c r="S343" s="13" t="s">
        <v>23</v>
      </c>
      <c r="T343" s="13" t="s">
        <v>23</v>
      </c>
      <c r="U343" s="13" t="s">
        <v>23</v>
      </c>
    </row>
    <row r="344">
      <c r="A344" s="9" t="str">
        <f>HYPERLINK("https://docs.google.com/spreadsheets/d/1iNFGyKFcJm-tPp7Dg94yi7mHCDbJssmAD_PiaDM_tAE/edit?usp=sharing","Julie McGee")</f>
        <v>Julie McGee</v>
      </c>
      <c r="B344" s="10">
        <v>29.0</v>
      </c>
      <c r="C344" s="10">
        <v>14.0</v>
      </c>
      <c r="D344" s="10">
        <v>7.0</v>
      </c>
      <c r="E344" s="11">
        <v>2.0</v>
      </c>
      <c r="F344" s="12">
        <v>0.0315</v>
      </c>
      <c r="G344" s="10">
        <v>18.0</v>
      </c>
      <c r="H344" s="10">
        <v>1.0</v>
      </c>
      <c r="I344" s="10" t="s">
        <v>9</v>
      </c>
      <c r="J344" s="10" t="s">
        <v>60</v>
      </c>
      <c r="K344" s="10" t="s">
        <v>105</v>
      </c>
      <c r="L344" s="23">
        <v>5.0</v>
      </c>
      <c r="M344" s="23">
        <v>5.0</v>
      </c>
      <c r="N344" s="23" t="s">
        <v>23</v>
      </c>
      <c r="O344" s="23">
        <v>1.0</v>
      </c>
      <c r="P344" s="23" t="s">
        <v>23</v>
      </c>
      <c r="Q344" s="23" t="s">
        <v>23</v>
      </c>
      <c r="R344" s="23"/>
      <c r="S344" s="13" t="s">
        <v>23</v>
      </c>
      <c r="T344" s="13"/>
      <c r="U344" s="10" t="s">
        <v>64</v>
      </c>
    </row>
    <row r="345">
      <c r="A345" s="15" t="str">
        <f>HYPERLINK("https://docs.google.com/spreadsheets/d/1yi_HtvN4TS5uRWCCFJg5RFaoouiIIe8CAtY_XnqP6iM/edit?usp=sharing","John Kenney")</f>
        <v>John Kenney</v>
      </c>
      <c r="B345" s="13">
        <v>9.0</v>
      </c>
      <c r="C345" s="13">
        <v>14.0</v>
      </c>
      <c r="D345" s="13">
        <v>7.0</v>
      </c>
      <c r="E345" s="16">
        <v>2.0</v>
      </c>
      <c r="F345" s="17">
        <v>0.0334</v>
      </c>
      <c r="G345" s="13">
        <v>18.0</v>
      </c>
      <c r="H345" s="13">
        <v>2.0</v>
      </c>
      <c r="I345" s="13" t="s">
        <v>42</v>
      </c>
      <c r="J345" s="13" t="s">
        <v>60</v>
      </c>
      <c r="K345" s="13" t="s">
        <v>85</v>
      </c>
      <c r="L345" s="13">
        <v>3.0</v>
      </c>
      <c r="M345" s="13">
        <v>3.0</v>
      </c>
      <c r="N345" s="13">
        <v>1.0</v>
      </c>
      <c r="O345" s="13">
        <v>4.0</v>
      </c>
      <c r="P345" s="10" t="s">
        <v>23</v>
      </c>
      <c r="Q345" s="10" t="s">
        <v>23</v>
      </c>
      <c r="R345" s="10"/>
      <c r="S345" s="10" t="s">
        <v>23</v>
      </c>
      <c r="T345" s="10"/>
      <c r="U345" s="10" t="s">
        <v>23</v>
      </c>
    </row>
    <row r="346">
      <c r="A346" s="9" t="str">
        <f>HYPERLINK("https://docs.google.com/spreadsheets/d/1nYlVL4RxK2ZUH-a4MfKCalHyEjDRWz2ZumhyoaYsjTE/edit?usp=sharing","Jill Behm")</f>
        <v>Jill Behm</v>
      </c>
      <c r="B346" s="10">
        <v>21.0</v>
      </c>
      <c r="C346" s="10">
        <v>14.0</v>
      </c>
      <c r="D346" s="10">
        <v>7.0</v>
      </c>
      <c r="E346" s="11">
        <v>2.0</v>
      </c>
      <c r="F346" s="12">
        <v>0.0337</v>
      </c>
      <c r="G346" s="10">
        <v>18.0</v>
      </c>
      <c r="H346" s="10">
        <v>2.0</v>
      </c>
      <c r="I346" s="10" t="s">
        <v>42</v>
      </c>
      <c r="J346" s="10" t="s">
        <v>60</v>
      </c>
      <c r="K346" s="10" t="s">
        <v>100</v>
      </c>
      <c r="L346" s="13">
        <v>2.0</v>
      </c>
      <c r="M346" s="13">
        <v>2.0</v>
      </c>
      <c r="N346" s="13">
        <v>1.0</v>
      </c>
      <c r="O346" s="13">
        <v>5.0</v>
      </c>
      <c r="P346" s="10" t="s">
        <v>23</v>
      </c>
      <c r="Q346" s="10" t="s">
        <v>23</v>
      </c>
      <c r="R346" s="10"/>
      <c r="S346" s="10" t="s">
        <v>23</v>
      </c>
      <c r="T346" s="10"/>
      <c r="U346" s="10" t="s">
        <v>23</v>
      </c>
    </row>
    <row r="347">
      <c r="A347" s="15" t="str">
        <f>HYPERLINK("https://docs.google.com/spreadsheets/d/1d8Hzm_QCJnDef8NF_dVYBZLjLjFI3Fl8Yt14m8Zhn8Y/edit?usp=sharing","Ibrehem Rahman")</f>
        <v>Ibrehem Rahman</v>
      </c>
      <c r="B347" s="13">
        <v>10.0</v>
      </c>
      <c r="C347" s="13">
        <v>14.0</v>
      </c>
      <c r="D347" s="13">
        <v>7.0</v>
      </c>
      <c r="E347" s="16">
        <v>2.0</v>
      </c>
      <c r="F347" s="17">
        <v>0.0328</v>
      </c>
      <c r="G347" s="13">
        <v>18.0</v>
      </c>
      <c r="H347" s="13">
        <v>1.0</v>
      </c>
      <c r="I347" s="13" t="s">
        <v>42</v>
      </c>
      <c r="J347" s="13" t="s">
        <v>60</v>
      </c>
      <c r="K347" s="13" t="s">
        <v>69</v>
      </c>
      <c r="L347" s="13">
        <v>3.0</v>
      </c>
      <c r="M347" s="13" t="s">
        <v>23</v>
      </c>
      <c r="N347" s="13">
        <v>1.0</v>
      </c>
      <c r="O347" s="13">
        <v>7.0</v>
      </c>
      <c r="P347" s="13" t="s">
        <v>23</v>
      </c>
      <c r="Q347" s="13" t="s">
        <v>23</v>
      </c>
      <c r="R347" s="13"/>
      <c r="S347" s="13" t="s">
        <v>23</v>
      </c>
      <c r="T347" s="13" t="s">
        <v>23</v>
      </c>
      <c r="U347" s="13" t="s">
        <v>23</v>
      </c>
    </row>
    <row r="348">
      <c r="A348" s="9" t="str">
        <f>HYPERLINK("https://docs.google.com/spreadsheets/d/1LR80O0PvsOvoTuN5gHQd3Rls4b1rZmJd7EZ_DR2oRHs/edit?usp=sharing","Brandon Hantz")</f>
        <v>Brandon Hantz</v>
      </c>
      <c r="B348" s="10">
        <v>26.0</v>
      </c>
      <c r="C348" s="10">
        <v>14.0</v>
      </c>
      <c r="D348" s="10">
        <v>5.0</v>
      </c>
      <c r="E348" s="11">
        <v>2.8</v>
      </c>
      <c r="F348" s="12">
        <v>0.0339</v>
      </c>
      <c r="G348" s="10">
        <v>13.0</v>
      </c>
      <c r="H348" s="10" t="s">
        <v>23</v>
      </c>
      <c r="I348" s="10" t="s">
        <v>42</v>
      </c>
      <c r="J348" s="10" t="s">
        <v>60</v>
      </c>
      <c r="K348" s="10" t="s">
        <v>112</v>
      </c>
      <c r="L348" s="13">
        <v>5.0</v>
      </c>
      <c r="M348" s="13">
        <v>3.0</v>
      </c>
      <c r="N348" s="13" t="s">
        <v>23</v>
      </c>
      <c r="O348" s="13">
        <v>2.0</v>
      </c>
      <c r="P348" s="10" t="s">
        <v>23</v>
      </c>
      <c r="Q348" s="10" t="s">
        <v>23</v>
      </c>
      <c r="R348" s="10"/>
      <c r="S348" s="10" t="s">
        <v>23</v>
      </c>
      <c r="T348" s="10"/>
      <c r="U348" s="10" t="s">
        <v>23</v>
      </c>
    </row>
    <row r="349">
      <c r="A349" s="15" t="str">
        <f>HYPERLINK("https://docs.google.com/spreadsheets/d/1d8Hzm_QCJnDef8NF_dVYBZLjLjFI3Fl8Yt14m8Zhn8Y/edit?usp=sharing","Angie Jakusz")</f>
        <v>Angie Jakusz</v>
      </c>
      <c r="B349" s="13">
        <v>10.0</v>
      </c>
      <c r="C349" s="13">
        <v>14.0</v>
      </c>
      <c r="D349" s="13">
        <v>5.0</v>
      </c>
      <c r="E349" s="16">
        <v>2.8</v>
      </c>
      <c r="F349" s="17">
        <v>0.0328</v>
      </c>
      <c r="G349" s="13">
        <v>12.0</v>
      </c>
      <c r="H349" s="13" t="s">
        <v>23</v>
      </c>
      <c r="I349" s="13" t="s">
        <v>42</v>
      </c>
      <c r="J349" s="13" t="s">
        <v>60</v>
      </c>
      <c r="K349" s="13" t="s">
        <v>100</v>
      </c>
      <c r="L349" s="13">
        <v>2.0</v>
      </c>
      <c r="M349" s="13" t="s">
        <v>23</v>
      </c>
      <c r="N349" s="13" t="s">
        <v>23</v>
      </c>
      <c r="O349" s="13">
        <v>5.0</v>
      </c>
      <c r="P349" s="13" t="s">
        <v>23</v>
      </c>
      <c r="Q349" s="13" t="s">
        <v>23</v>
      </c>
      <c r="R349" s="13"/>
      <c r="S349" s="13" t="s">
        <v>23</v>
      </c>
      <c r="T349" s="13" t="s">
        <v>23</v>
      </c>
      <c r="U349" s="13" t="s">
        <v>23</v>
      </c>
    </row>
    <row r="350">
      <c r="A350" s="18" t="s">
        <v>134</v>
      </c>
      <c r="B350" s="13">
        <v>40.0</v>
      </c>
      <c r="C350" s="13">
        <v>14.0</v>
      </c>
      <c r="D350" s="13">
        <v>15.0</v>
      </c>
      <c r="E350" s="16">
        <v>0.93</v>
      </c>
      <c r="F350" s="17">
        <v>0.0244</v>
      </c>
      <c r="G350" s="13" t="s">
        <v>135</v>
      </c>
      <c r="H350" s="13">
        <v>5.0</v>
      </c>
      <c r="I350" s="13" t="s">
        <v>9</v>
      </c>
      <c r="J350" s="13" t="s">
        <v>24</v>
      </c>
      <c r="K350" s="13" t="s">
        <v>100</v>
      </c>
      <c r="L350" s="13">
        <v>3.0</v>
      </c>
      <c r="M350" s="13">
        <v>4.0</v>
      </c>
      <c r="N350" s="13" t="s">
        <v>23</v>
      </c>
      <c r="O350" s="13">
        <v>5.0</v>
      </c>
      <c r="P350" s="13" t="s">
        <v>23</v>
      </c>
      <c r="Q350" s="13" t="s">
        <v>23</v>
      </c>
      <c r="R350" s="13">
        <v>1.0</v>
      </c>
      <c r="S350" s="13" t="s">
        <v>23</v>
      </c>
      <c r="T350" s="13">
        <v>2.0</v>
      </c>
      <c r="U350" s="13" t="s">
        <v>23</v>
      </c>
    </row>
    <row r="351">
      <c r="A351" s="9" t="str">
        <f>HYPERLINK("https://docs.google.com/spreadsheets/d/1EsGJrNyA7pLwFUlZ6WfOkbnPz58Cle9N9c6epQSDRVA/edit?usp=sharing","Kimmi Kappenberg")</f>
        <v>Kimmi Kappenberg</v>
      </c>
      <c r="B351" s="10">
        <v>31.0</v>
      </c>
      <c r="C351" s="10">
        <v>13.0</v>
      </c>
      <c r="D351" s="10">
        <v>14.0</v>
      </c>
      <c r="E351" s="11">
        <v>0.93</v>
      </c>
      <c r="F351" s="12">
        <v>0.0297</v>
      </c>
      <c r="G351" s="10">
        <v>36.0</v>
      </c>
      <c r="H351" s="10">
        <v>7.0</v>
      </c>
      <c r="I351" s="10" t="s">
        <v>9</v>
      </c>
      <c r="J351" s="10" t="s">
        <v>40</v>
      </c>
      <c r="K351" s="10" t="s">
        <v>65</v>
      </c>
      <c r="L351" s="13">
        <v>5.0</v>
      </c>
      <c r="M351" s="13">
        <v>5.0</v>
      </c>
      <c r="N351" s="13" t="s">
        <v>23</v>
      </c>
      <c r="O351" s="13">
        <v>9.0</v>
      </c>
      <c r="P351" s="10" t="s">
        <v>23</v>
      </c>
      <c r="Q351" s="10" t="s">
        <v>23</v>
      </c>
      <c r="R351" s="10"/>
      <c r="S351" s="10" t="s">
        <v>23</v>
      </c>
      <c r="T351" s="10"/>
      <c r="U351" s="10" t="s">
        <v>23</v>
      </c>
    </row>
    <row r="352">
      <c r="A352" s="15" t="str">
        <f>HYPERLINK("https://docs.google.com/spreadsheets/d/1d8Hzm_QCJnDef8NF_dVYBZLjLjFI3Fl8Yt14m8Zhn8Y/edit?usp=sharing","Jenn Lyon")</f>
        <v>Jenn Lyon</v>
      </c>
      <c r="B352" s="13">
        <v>10.0</v>
      </c>
      <c r="C352" s="13">
        <v>13.0</v>
      </c>
      <c r="D352" s="13">
        <v>14.0</v>
      </c>
      <c r="E352" s="16">
        <v>0.93</v>
      </c>
      <c r="F352" s="17">
        <v>0.0304</v>
      </c>
      <c r="G352" s="13">
        <v>37.0</v>
      </c>
      <c r="H352" s="13">
        <v>5.0</v>
      </c>
      <c r="I352" s="13" t="s">
        <v>42</v>
      </c>
      <c r="J352" s="13" t="s">
        <v>37</v>
      </c>
      <c r="K352" s="13" t="s">
        <v>55</v>
      </c>
      <c r="L352" s="13">
        <v>9.0</v>
      </c>
      <c r="M352" s="13">
        <v>7.0</v>
      </c>
      <c r="N352" s="13" t="s">
        <v>23</v>
      </c>
      <c r="O352" s="13">
        <v>7.0</v>
      </c>
      <c r="P352" s="13" t="s">
        <v>23</v>
      </c>
      <c r="Q352" s="13" t="s">
        <v>23</v>
      </c>
      <c r="R352" s="13"/>
      <c r="S352" s="13" t="s">
        <v>23</v>
      </c>
      <c r="T352" s="13" t="s">
        <v>23</v>
      </c>
      <c r="U352" s="13" t="s">
        <v>23</v>
      </c>
    </row>
    <row r="353">
      <c r="A353" s="9" t="str">
        <f>HYPERLINK("https://docs.google.com/spreadsheets/d/1tPYt5CqjX32YXnh0BRsechvszEP2n4_ePabpiRTSzqE/edit?usp=sharing","Darrah Johnson")</f>
        <v>Darrah Johnson</v>
      </c>
      <c r="B353" s="10">
        <v>7.0</v>
      </c>
      <c r="C353" s="10">
        <v>13.0</v>
      </c>
      <c r="D353" s="10">
        <v>14.0</v>
      </c>
      <c r="E353" s="11">
        <v>0.93</v>
      </c>
      <c r="F353" s="12">
        <v>0.0259</v>
      </c>
      <c r="G353" s="10">
        <v>37.0</v>
      </c>
      <c r="H353" s="10">
        <v>4.0</v>
      </c>
      <c r="I353" s="10" t="s">
        <v>9</v>
      </c>
      <c r="J353" s="10" t="s">
        <v>37</v>
      </c>
      <c r="K353" s="10" t="s">
        <v>38</v>
      </c>
      <c r="L353" s="13">
        <v>2.0</v>
      </c>
      <c r="M353" s="13">
        <v>3.0</v>
      </c>
      <c r="N353" s="13">
        <v>3.0</v>
      </c>
      <c r="O353" s="13">
        <v>11.0</v>
      </c>
      <c r="P353" s="10" t="s">
        <v>23</v>
      </c>
      <c r="Q353" s="10" t="s">
        <v>23</v>
      </c>
      <c r="R353" s="10"/>
      <c r="S353" s="10" t="s">
        <v>23</v>
      </c>
      <c r="T353" s="10"/>
      <c r="U353" s="10" t="s">
        <v>23</v>
      </c>
    </row>
    <row r="354">
      <c r="A354" s="9" t="str">
        <f>HYPERLINK("https://docs.google.com/spreadsheets/d/1nYlVL4RxK2ZUH-a4MfKCalHyEjDRWz2ZumhyoaYsjTE/edit?usp=sharing","Dan Lembo")</f>
        <v>Dan Lembo</v>
      </c>
      <c r="B354" s="10">
        <v>21.0</v>
      </c>
      <c r="C354" s="10">
        <v>13.0</v>
      </c>
      <c r="D354" s="10">
        <v>14.0</v>
      </c>
      <c r="E354" s="11">
        <v>0.93</v>
      </c>
      <c r="F354" s="12">
        <v>0.0313</v>
      </c>
      <c r="G354" s="10">
        <v>37.0</v>
      </c>
      <c r="H354" s="10">
        <v>4.0</v>
      </c>
      <c r="I354" s="10" t="s">
        <v>9</v>
      </c>
      <c r="J354" s="10" t="s">
        <v>40</v>
      </c>
      <c r="K354" s="10" t="s">
        <v>67</v>
      </c>
      <c r="L354" s="13">
        <v>6.0</v>
      </c>
      <c r="M354" s="13">
        <v>2.0</v>
      </c>
      <c r="N354" s="13" t="s">
        <v>23</v>
      </c>
      <c r="O354" s="13">
        <v>11.0</v>
      </c>
      <c r="P354" s="10" t="s">
        <v>23</v>
      </c>
      <c r="Q354" s="10" t="s">
        <v>23</v>
      </c>
      <c r="R354" s="10"/>
      <c r="S354" s="10" t="s">
        <v>23</v>
      </c>
      <c r="T354" s="10"/>
      <c r="U354" s="10" t="s">
        <v>23</v>
      </c>
    </row>
    <row r="355">
      <c r="A355" s="9" t="str">
        <f>HYPERLINK("https://docs.google.com/spreadsheets/d/1LR80O0PvsOvoTuN5gHQd3Rls4b1rZmJd7EZ_DR2oRHs/edit?usp=sharing","Brenda Lowe")</f>
        <v>Brenda Lowe</v>
      </c>
      <c r="B355" s="10">
        <v>26.0</v>
      </c>
      <c r="C355" s="10">
        <v>13.0</v>
      </c>
      <c r="D355" s="10">
        <v>13.0</v>
      </c>
      <c r="E355" s="11">
        <v>1.0</v>
      </c>
      <c r="F355" s="12">
        <v>0.0315</v>
      </c>
      <c r="G355" s="10">
        <v>36.0</v>
      </c>
      <c r="H355" s="10">
        <v>8.0</v>
      </c>
      <c r="I355" s="10" t="s">
        <v>9</v>
      </c>
      <c r="J355" s="10" t="s">
        <v>37</v>
      </c>
      <c r="K355" s="10" t="s">
        <v>65</v>
      </c>
      <c r="L355" s="13">
        <v>8.0</v>
      </c>
      <c r="M355" s="13">
        <v>5.0</v>
      </c>
      <c r="N355" s="13">
        <v>1.0</v>
      </c>
      <c r="O355" s="13">
        <v>9.0</v>
      </c>
      <c r="P355" s="10" t="s">
        <v>23</v>
      </c>
      <c r="Q355" s="10" t="s">
        <v>23</v>
      </c>
      <c r="R355" s="10"/>
      <c r="S355" s="10" t="s">
        <v>23</v>
      </c>
      <c r="T355" s="10"/>
      <c r="U355" s="10" t="s">
        <v>23</v>
      </c>
    </row>
    <row r="356">
      <c r="A356" s="9" t="str">
        <f>HYPERLINK("https://docs.google.com/spreadsheets/d/1OvIOVR4AMBMcafVt9o6KEur-eEFhew1kw_KUv3DV3Xs/edit?usp=sharing","Christine Shields")</f>
        <v>Christine Shields</v>
      </c>
      <c r="B356" s="10">
        <v>23.0</v>
      </c>
      <c r="C356" s="10">
        <v>13.0</v>
      </c>
      <c r="D356" s="10">
        <v>8.0</v>
      </c>
      <c r="E356" s="11">
        <v>1.63</v>
      </c>
      <c r="F356" s="12">
        <v>0.0324</v>
      </c>
      <c r="G356" s="10">
        <v>19.0</v>
      </c>
      <c r="H356" s="10">
        <v>4.0</v>
      </c>
      <c r="I356" s="10" t="s">
        <v>42</v>
      </c>
      <c r="J356" s="10" t="s">
        <v>60</v>
      </c>
      <c r="K356" s="10" t="s">
        <v>91</v>
      </c>
      <c r="L356" s="13" t="s">
        <v>23</v>
      </c>
      <c r="M356" s="13">
        <v>1.0</v>
      </c>
      <c r="N356" s="13" t="s">
        <v>23</v>
      </c>
      <c r="O356" s="13">
        <v>1.0</v>
      </c>
      <c r="P356" s="13" t="s">
        <v>23</v>
      </c>
      <c r="Q356" s="13">
        <v>1.0</v>
      </c>
      <c r="R356" s="13"/>
      <c r="S356" s="10" t="s">
        <v>23</v>
      </c>
      <c r="T356" s="10"/>
      <c r="U356" s="10" t="s">
        <v>23</v>
      </c>
    </row>
    <row r="357">
      <c r="A357" s="9" t="str">
        <f>HYPERLINK("https://docs.google.com/spreadsheets/d/1tPYt5CqjX32YXnh0BRsechvszEP2n4_ePabpiRTSzqE/edit?usp=sharing","Trish Dunn")</f>
        <v>Trish Dunn</v>
      </c>
      <c r="B357" s="10">
        <v>7.0</v>
      </c>
      <c r="C357" s="10">
        <v>13.0</v>
      </c>
      <c r="D357" s="10">
        <v>6.0</v>
      </c>
      <c r="E357" s="11">
        <v>2.17</v>
      </c>
      <c r="F357" s="12">
        <v>0.0259</v>
      </c>
      <c r="G357" s="10">
        <v>19.0</v>
      </c>
      <c r="H357" s="10">
        <v>1.0</v>
      </c>
      <c r="I357" s="10" t="s">
        <v>42</v>
      </c>
      <c r="J357" s="10" t="s">
        <v>60</v>
      </c>
      <c r="K357" s="10" t="s">
        <v>107</v>
      </c>
      <c r="L357" s="13">
        <v>4.0</v>
      </c>
      <c r="M357" s="13">
        <v>3.0</v>
      </c>
      <c r="N357" s="13" t="s">
        <v>23</v>
      </c>
      <c r="O357" s="13">
        <v>3.0</v>
      </c>
      <c r="P357" s="10" t="s">
        <v>23</v>
      </c>
      <c r="Q357" s="10" t="s">
        <v>23</v>
      </c>
      <c r="R357" s="10"/>
      <c r="S357" s="10" t="s">
        <v>23</v>
      </c>
      <c r="T357" s="10"/>
      <c r="U357" s="10" t="s">
        <v>23</v>
      </c>
    </row>
    <row r="358">
      <c r="A358" s="9" t="str">
        <f>HYPERLINK("https://docs.google.com/spreadsheets/d/1LR80O0PvsOvoTuN5gHQd3Rls4b1rZmJd7EZ_DR2oRHs/edit?usp=sharing","Matt Bischoff")</f>
        <v>Matt Bischoff</v>
      </c>
      <c r="B358" s="10">
        <v>26.0</v>
      </c>
      <c r="C358" s="10">
        <v>13.0</v>
      </c>
      <c r="D358" s="10">
        <v>6.0</v>
      </c>
      <c r="E358" s="11">
        <v>2.17</v>
      </c>
      <c r="F358" s="12">
        <v>0.0315</v>
      </c>
      <c r="G358" s="10">
        <v>16.0</v>
      </c>
      <c r="H358" s="10">
        <v>1.0</v>
      </c>
      <c r="I358" s="10" t="s">
        <v>42</v>
      </c>
      <c r="J358" s="10" t="s">
        <v>60</v>
      </c>
      <c r="K358" s="10" t="s">
        <v>111</v>
      </c>
      <c r="L358" s="13" t="s">
        <v>23</v>
      </c>
      <c r="M358" s="13">
        <v>2.0</v>
      </c>
      <c r="N358" s="13" t="s">
        <v>23</v>
      </c>
      <c r="O358" s="13">
        <v>4.0</v>
      </c>
      <c r="P358" s="10" t="s">
        <v>23</v>
      </c>
      <c r="Q358" s="10" t="s">
        <v>23</v>
      </c>
      <c r="R358" s="10"/>
      <c r="S358" s="10" t="s">
        <v>23</v>
      </c>
      <c r="T358" s="10"/>
      <c r="U358" s="10" t="s">
        <v>23</v>
      </c>
    </row>
    <row r="359">
      <c r="A359" s="9" t="str">
        <f>HYPERLINK("https://docs.google.com/spreadsheets/d/1iNFGyKFcJm-tPp7Dg94yi7mHCDbJssmAD_PiaDM_tAE/edit?usp=sharing","Dale Wentworth")</f>
        <v>Dale Wentworth</v>
      </c>
      <c r="B359" s="10">
        <v>29.0</v>
      </c>
      <c r="C359" s="10">
        <v>13.0</v>
      </c>
      <c r="D359" s="10">
        <v>6.0</v>
      </c>
      <c r="E359" s="11">
        <v>2.17</v>
      </c>
      <c r="F359" s="12">
        <v>0.0292</v>
      </c>
      <c r="G359" s="10">
        <v>15.0</v>
      </c>
      <c r="H359" s="10">
        <v>1.0</v>
      </c>
      <c r="I359" s="10" t="s">
        <v>42</v>
      </c>
      <c r="J359" s="10" t="s">
        <v>60</v>
      </c>
      <c r="K359" s="10" t="s">
        <v>91</v>
      </c>
      <c r="L359" s="23">
        <v>1.0</v>
      </c>
      <c r="M359" s="23">
        <v>1.0</v>
      </c>
      <c r="N359" s="23" t="s">
        <v>23</v>
      </c>
      <c r="O359" s="23">
        <v>5.0</v>
      </c>
      <c r="P359" s="23" t="s">
        <v>23</v>
      </c>
      <c r="Q359" s="23" t="s">
        <v>23</v>
      </c>
      <c r="R359" s="23"/>
      <c r="S359" s="13" t="s">
        <v>23</v>
      </c>
      <c r="T359" s="13"/>
      <c r="U359" s="10" t="s">
        <v>23</v>
      </c>
    </row>
    <row r="360">
      <c r="A360" s="9" t="str">
        <f>HYPERLINK("https://docs.google.com/spreadsheets/d/1CcEdjXKuhm6HmXecNbnscxpFab1HRQEjKSDga6QxqAU/edit?usp=sharing","Kristina Kell")</f>
        <v>Kristina Kell</v>
      </c>
      <c r="B360" s="10">
        <v>22.0</v>
      </c>
      <c r="C360" s="10">
        <v>13.0</v>
      </c>
      <c r="D360" s="10">
        <v>5.0</v>
      </c>
      <c r="E360" s="11">
        <v>2.6</v>
      </c>
      <c r="F360" s="12">
        <v>0.0307</v>
      </c>
      <c r="G360" s="10">
        <v>12.0</v>
      </c>
      <c r="H360" s="10">
        <v>2.0</v>
      </c>
      <c r="I360" s="10" t="s">
        <v>42</v>
      </c>
      <c r="J360" s="10" t="s">
        <v>60</v>
      </c>
      <c r="K360" s="10" t="s">
        <v>136</v>
      </c>
      <c r="L360" s="13">
        <v>1.0</v>
      </c>
      <c r="M360" s="13">
        <v>1.0</v>
      </c>
      <c r="N360" s="13" t="s">
        <v>23</v>
      </c>
      <c r="O360" s="13">
        <v>3.0</v>
      </c>
      <c r="P360" s="13" t="s">
        <v>23</v>
      </c>
      <c r="Q360" s="13">
        <v>1.0</v>
      </c>
      <c r="R360" s="13"/>
      <c r="S360" s="10">
        <v>1.0</v>
      </c>
      <c r="T360" s="10"/>
      <c r="U360" s="10" t="s">
        <v>23</v>
      </c>
    </row>
    <row r="361">
      <c r="A361" s="9" t="str">
        <f>HYPERLINK("https://docs.google.com/spreadsheets/d/1iNFGyKFcJm-tPp7Dg94yi7mHCDbJssmAD_PiaDM_tAE/edit?usp=sharing","Drew Christy")</f>
        <v>Drew Christy</v>
      </c>
      <c r="B361" s="10">
        <v>29.0</v>
      </c>
      <c r="C361" s="10">
        <v>13.0</v>
      </c>
      <c r="D361" s="10">
        <v>4.0</v>
      </c>
      <c r="E361" s="11">
        <v>3.25</v>
      </c>
      <c r="F361" s="12">
        <v>0.0292</v>
      </c>
      <c r="G361" s="10">
        <v>10.0</v>
      </c>
      <c r="H361" s="10">
        <v>1.0</v>
      </c>
      <c r="I361" s="10" t="s">
        <v>42</v>
      </c>
      <c r="J361" s="10" t="s">
        <v>60</v>
      </c>
      <c r="K361" s="10" t="s">
        <v>113</v>
      </c>
      <c r="L361" s="23">
        <v>2.0</v>
      </c>
      <c r="M361" s="23">
        <v>3.0</v>
      </c>
      <c r="N361" s="23" t="s">
        <v>23</v>
      </c>
      <c r="O361" s="23">
        <v>1.0</v>
      </c>
      <c r="P361" s="23">
        <v>1.0</v>
      </c>
      <c r="Q361" s="23" t="s">
        <v>23</v>
      </c>
      <c r="R361" s="23"/>
      <c r="S361" s="13" t="s">
        <v>23</v>
      </c>
      <c r="T361" s="13"/>
      <c r="U361" s="10" t="s">
        <v>23</v>
      </c>
    </row>
    <row r="362">
      <c r="A362" s="9" t="str">
        <f>HYPERLINK("https://docs.google.com/spreadsheets/d/1nRsx7fR5xbH1eAbI_vBDvqXOgh7mXIwmZNhzrVL6oGM/edit?usp=sharing","Hunter Ellis")</f>
        <v>Hunter Ellis</v>
      </c>
      <c r="B362" s="10">
        <v>4.0</v>
      </c>
      <c r="C362" s="10">
        <v>13.0</v>
      </c>
      <c r="D362" s="10">
        <v>3.0</v>
      </c>
      <c r="E362" s="11">
        <v>4.33</v>
      </c>
      <c r="F362" s="12">
        <v>0.0272</v>
      </c>
      <c r="G362" s="10">
        <v>9.0</v>
      </c>
      <c r="H362" s="10" t="s">
        <v>23</v>
      </c>
      <c r="I362" s="10" t="s">
        <v>42</v>
      </c>
      <c r="J362" s="10" t="s">
        <v>60</v>
      </c>
      <c r="K362" s="10" t="s">
        <v>137</v>
      </c>
      <c r="L362" s="13" t="s">
        <v>23</v>
      </c>
      <c r="M362" s="13" t="s">
        <v>23</v>
      </c>
      <c r="N362" s="13" t="s">
        <v>23</v>
      </c>
      <c r="O362" s="13">
        <v>3.0</v>
      </c>
      <c r="P362" s="10" t="s">
        <v>23</v>
      </c>
      <c r="Q362" s="10" t="s">
        <v>23</v>
      </c>
      <c r="R362" s="10"/>
      <c r="S362" s="10" t="s">
        <v>23</v>
      </c>
      <c r="T362" s="10"/>
      <c r="U362" s="10" t="s">
        <v>23</v>
      </c>
    </row>
    <row r="363">
      <c r="A363" s="15" t="str">
        <f>HYPERLINK("https://docs.google.com/spreadsheets/d/1Hf_PbZTXAuooCoiF7c3Bz80t5-zCjdWHF8wQ_HyodNs/edit?usp=sharing","Sebastian Noel")</f>
        <v>Sebastian Noel</v>
      </c>
      <c r="B363" s="13">
        <v>36.0</v>
      </c>
      <c r="C363" s="13">
        <v>12.0</v>
      </c>
      <c r="D363" s="13">
        <v>14.0</v>
      </c>
      <c r="E363" s="16">
        <v>0.86</v>
      </c>
      <c r="F363" s="17">
        <v>0.0305</v>
      </c>
      <c r="G363" s="13">
        <v>36.0</v>
      </c>
      <c r="H363" s="13">
        <v>5.0</v>
      </c>
      <c r="I363" s="13" t="s">
        <v>9</v>
      </c>
      <c r="J363" s="13" t="s">
        <v>40</v>
      </c>
      <c r="K363" s="13" t="s">
        <v>65</v>
      </c>
      <c r="L363" s="13">
        <v>7.0</v>
      </c>
      <c r="M363" s="13">
        <v>5.0</v>
      </c>
      <c r="N363" s="13" t="s">
        <v>23</v>
      </c>
      <c r="O363" s="13">
        <v>9.0</v>
      </c>
      <c r="P363" s="13">
        <v>1.0</v>
      </c>
      <c r="Q363" s="13" t="s">
        <v>23</v>
      </c>
      <c r="R363" s="13"/>
      <c r="S363" s="13" t="s">
        <v>23</v>
      </c>
      <c r="T363" s="13">
        <v>1.0</v>
      </c>
      <c r="U363" s="13" t="s">
        <v>23</v>
      </c>
    </row>
    <row r="364">
      <c r="A364" s="15" t="str">
        <f>HYPERLINK("https://docs.google.com/spreadsheets/d/1Hf_PbZTXAuooCoiF7c3Bz80t5-zCjdWHF8wQ_HyodNs/edit?usp=sharing","Jenna Bowman")</f>
        <v>Jenna Bowman</v>
      </c>
      <c r="B364" s="13">
        <v>36.0</v>
      </c>
      <c r="C364" s="13">
        <v>12.0</v>
      </c>
      <c r="D364" s="13">
        <v>11.0</v>
      </c>
      <c r="E364" s="16">
        <v>1.09</v>
      </c>
      <c r="F364" s="17">
        <v>0.0305</v>
      </c>
      <c r="G364" s="13">
        <v>29.0</v>
      </c>
      <c r="H364" s="13">
        <v>3.0</v>
      </c>
      <c r="I364" s="13" t="s">
        <v>9</v>
      </c>
      <c r="J364" s="13" t="s">
        <v>58</v>
      </c>
      <c r="K364" s="13" t="s">
        <v>86</v>
      </c>
      <c r="L364" s="13">
        <v>5.0</v>
      </c>
      <c r="M364" s="13">
        <v>3.0</v>
      </c>
      <c r="N364" s="13" t="s">
        <v>23</v>
      </c>
      <c r="O364" s="13">
        <v>8.0</v>
      </c>
      <c r="P364" s="13">
        <v>1.0</v>
      </c>
      <c r="Q364" s="13" t="s">
        <v>23</v>
      </c>
      <c r="R364" s="13"/>
      <c r="S364" s="13" t="s">
        <v>23</v>
      </c>
      <c r="T364" s="13" t="s">
        <v>23</v>
      </c>
      <c r="U364" s="13" t="s">
        <v>23</v>
      </c>
    </row>
    <row r="365">
      <c r="A365" s="9" t="str">
        <f>HYPERLINK("https://docs.google.com/spreadsheets/d/1y7awzkkkaNlh7XKjc44AGriTvqB9H3pVz8cFLyIYdbo/edit?usp=sharing","Jeremiah Wood")</f>
        <v>Jeremiah Wood</v>
      </c>
      <c r="B365" s="10">
        <v>28.0</v>
      </c>
      <c r="C365" s="10">
        <v>12.0</v>
      </c>
      <c r="D365" s="10">
        <v>10.0</v>
      </c>
      <c r="E365" s="11">
        <v>1.2</v>
      </c>
      <c r="F365" s="12">
        <v>0.0261</v>
      </c>
      <c r="G365" s="10">
        <v>28.0</v>
      </c>
      <c r="H365" s="10">
        <v>3.0</v>
      </c>
      <c r="I365" s="10" t="s">
        <v>9</v>
      </c>
      <c r="J365" s="10" t="s">
        <v>58</v>
      </c>
      <c r="K365" s="10" t="s">
        <v>47</v>
      </c>
      <c r="L365" s="13">
        <v>7.0</v>
      </c>
      <c r="M365" s="13">
        <v>4.0</v>
      </c>
      <c r="N365" s="13" t="s">
        <v>23</v>
      </c>
      <c r="O365" s="13">
        <v>6.0</v>
      </c>
      <c r="P365" s="10" t="s">
        <v>23</v>
      </c>
      <c r="Q365" s="10" t="s">
        <v>23</v>
      </c>
      <c r="R365" s="10"/>
      <c r="S365" s="10" t="s">
        <v>23</v>
      </c>
      <c r="T365" s="10"/>
      <c r="U365" s="10" t="s">
        <v>23</v>
      </c>
    </row>
    <row r="366">
      <c r="A366" s="9" t="str">
        <f>HYPERLINK("https://docs.google.com/spreadsheets/d/1v6gXy2rHfH0CkzT8zUZyZm6b-WimbnBspkh1B5hksu4/edit?usp=sharing","Michael Jefferson")</f>
        <v>Michael Jefferson</v>
      </c>
      <c r="B366" s="10">
        <v>24.0</v>
      </c>
      <c r="C366" s="10">
        <v>12.0</v>
      </c>
      <c r="D366" s="10">
        <v>8.0</v>
      </c>
      <c r="E366" s="11">
        <v>1.5</v>
      </c>
      <c r="F366" s="12">
        <v>0.0314</v>
      </c>
      <c r="G366" s="10">
        <v>22.0</v>
      </c>
      <c r="H366" s="10">
        <v>3.0</v>
      </c>
      <c r="I366" s="10" t="s">
        <v>9</v>
      </c>
      <c r="J366" s="10" t="s">
        <v>48</v>
      </c>
      <c r="K366" s="10" t="s">
        <v>85</v>
      </c>
      <c r="L366" s="13">
        <v>6.0</v>
      </c>
      <c r="M366" s="13">
        <v>3.0</v>
      </c>
      <c r="N366" s="13" t="s">
        <v>23</v>
      </c>
      <c r="O366" s="13">
        <v>4.0</v>
      </c>
      <c r="P366" s="10" t="s">
        <v>23</v>
      </c>
      <c r="Q366" s="10" t="s">
        <v>23</v>
      </c>
      <c r="R366" s="10"/>
      <c r="S366" s="10" t="s">
        <v>23</v>
      </c>
      <c r="T366" s="10"/>
      <c r="U366" s="10" t="s">
        <v>23</v>
      </c>
    </row>
    <row r="367">
      <c r="A367" s="9" t="str">
        <f>HYPERLINK("https://docs.google.com/spreadsheets/d/1HA0vQC0CSnQtVc8u58vwNd3sIFCc79SKVqM1abMG1hI/edit?usp=sharing","Kelly Remington")</f>
        <v>Kelly Remington</v>
      </c>
      <c r="B367" s="10">
        <v>30.0</v>
      </c>
      <c r="C367" s="10">
        <v>12.0</v>
      </c>
      <c r="D367" s="10">
        <v>7.0</v>
      </c>
      <c r="E367" s="11">
        <v>1.71</v>
      </c>
      <c r="F367" s="12">
        <v>0.0263</v>
      </c>
      <c r="G367" s="10">
        <v>19.0</v>
      </c>
      <c r="H367" s="10">
        <v>1.0</v>
      </c>
      <c r="I367" s="10" t="s">
        <v>9</v>
      </c>
      <c r="J367" s="10" t="s">
        <v>60</v>
      </c>
      <c r="K367" s="10" t="s">
        <v>105</v>
      </c>
      <c r="L367" s="13">
        <v>5.0</v>
      </c>
      <c r="M367" s="13">
        <v>4.0</v>
      </c>
      <c r="N367" s="13" t="s">
        <v>23</v>
      </c>
      <c r="O367" s="13">
        <v>3.0</v>
      </c>
      <c r="P367" s="10" t="s">
        <v>23</v>
      </c>
      <c r="Q367" s="10" t="s">
        <v>23</v>
      </c>
      <c r="R367" s="10"/>
      <c r="S367" s="10" t="s">
        <v>23</v>
      </c>
      <c r="T367" s="10"/>
      <c r="U367" s="10" t="s">
        <v>23</v>
      </c>
    </row>
    <row r="368">
      <c r="A368" s="15" t="str">
        <f>HYPERLINK("https://docs.google.com/spreadsheets/d/1Hf_PbZTXAuooCoiF7c3Bz80t5-zCjdWHF8wQ_HyodNs/edit?usp=sharing","Bradley Kleihege")</f>
        <v>Bradley Kleihege</v>
      </c>
      <c r="B368" s="13">
        <v>36.0</v>
      </c>
      <c r="C368" s="13">
        <v>12.0</v>
      </c>
      <c r="D368" s="13">
        <v>7.0</v>
      </c>
      <c r="E368" s="16">
        <v>1.71</v>
      </c>
      <c r="F368" s="17">
        <v>0.0305</v>
      </c>
      <c r="G368" s="13">
        <v>19.0</v>
      </c>
      <c r="H368" s="13">
        <v>3.0</v>
      </c>
      <c r="I368" s="13" t="s">
        <v>42</v>
      </c>
      <c r="J368" s="13" t="s">
        <v>60</v>
      </c>
      <c r="K368" s="13" t="s">
        <v>111</v>
      </c>
      <c r="L368" s="13">
        <v>3.0</v>
      </c>
      <c r="M368" s="13">
        <v>4.0</v>
      </c>
      <c r="N368" s="13" t="s">
        <v>23</v>
      </c>
      <c r="O368" s="13">
        <v>3.0</v>
      </c>
      <c r="P368" s="13" t="s">
        <v>23</v>
      </c>
      <c r="Q368" s="13" t="s">
        <v>23</v>
      </c>
      <c r="R368" s="13"/>
      <c r="S368" s="13" t="s">
        <v>23</v>
      </c>
      <c r="T368" s="13" t="s">
        <v>23</v>
      </c>
      <c r="U368" s="13" t="s">
        <v>23</v>
      </c>
    </row>
    <row r="369">
      <c r="A369" s="15" t="str">
        <f>HYPERLINK("https://docs.google.com/spreadsheets/d/1ZajpFwOHrMmupCcACeLhLTzPOwhTrjKRR1FJtUgeLww/edit?usp=sharing","Jessica ""Figgy"" Figueroa")</f>
        <v>Jessica "Figgy" Figueroa</v>
      </c>
      <c r="B369" s="13">
        <v>33.0</v>
      </c>
      <c r="C369" s="13">
        <v>12.0</v>
      </c>
      <c r="D369" s="13">
        <v>6.0</v>
      </c>
      <c r="E369" s="16">
        <v>2.0</v>
      </c>
      <c r="F369" s="17">
        <v>0.0276</v>
      </c>
      <c r="G369" s="13">
        <v>18.0</v>
      </c>
      <c r="H369" s="13">
        <v>1.0</v>
      </c>
      <c r="I369" s="13" t="s">
        <v>42</v>
      </c>
      <c r="J369" s="13" t="s">
        <v>60</v>
      </c>
      <c r="K369" s="13" t="s">
        <v>112</v>
      </c>
      <c r="L369" s="13">
        <v>2.0</v>
      </c>
      <c r="M369" s="13">
        <v>4.0</v>
      </c>
      <c r="N369" s="13" t="s">
        <v>23</v>
      </c>
      <c r="O369" s="13">
        <v>2.0</v>
      </c>
      <c r="P369" s="13" t="s">
        <v>23</v>
      </c>
      <c r="Q369" s="13" t="s">
        <v>23</v>
      </c>
      <c r="R369" s="13"/>
      <c r="S369" s="13" t="s">
        <v>23</v>
      </c>
      <c r="T369" s="13" t="s">
        <v>23</v>
      </c>
      <c r="U369" s="13" t="s">
        <v>23</v>
      </c>
    </row>
    <row r="370">
      <c r="A370" s="9" t="str">
        <f>HYPERLINK("https://docs.google.com/spreadsheets/d/1y7awzkkkaNlh7XKjc44AGriTvqB9H3pVz8cFLyIYdbo/edit?usp=sharing","Alexis Maxwell")</f>
        <v>Alexis Maxwell</v>
      </c>
      <c r="B370" s="10">
        <v>28.0</v>
      </c>
      <c r="C370" s="10">
        <v>12.0</v>
      </c>
      <c r="D370" s="10">
        <v>6.0</v>
      </c>
      <c r="E370" s="11">
        <v>2.0</v>
      </c>
      <c r="F370" s="12">
        <v>0.0261</v>
      </c>
      <c r="G370" s="10">
        <v>16.0</v>
      </c>
      <c r="H370" s="10">
        <v>1.0</v>
      </c>
      <c r="I370" s="10" t="s">
        <v>42</v>
      </c>
      <c r="J370" s="10" t="s">
        <v>60</v>
      </c>
      <c r="K370" s="10" t="s">
        <v>105</v>
      </c>
      <c r="L370" s="13">
        <v>3.0</v>
      </c>
      <c r="M370" s="13">
        <v>4.0</v>
      </c>
      <c r="N370" s="13" t="s">
        <v>23</v>
      </c>
      <c r="O370" s="13">
        <v>2.0</v>
      </c>
      <c r="P370" s="10" t="s">
        <v>23</v>
      </c>
      <c r="Q370" s="10" t="s">
        <v>23</v>
      </c>
      <c r="R370" s="10"/>
      <c r="S370" s="10" t="s">
        <v>23</v>
      </c>
      <c r="T370" s="10"/>
      <c r="U370" s="10" t="s">
        <v>23</v>
      </c>
    </row>
    <row r="371">
      <c r="A371" s="15" t="str">
        <f>HYPERLINK("https://docs.google.com/spreadsheets/d/1yi_HtvN4TS5uRWCCFJg5RFaoouiIIe8CAtY_XnqP6iM/edit?usp=sharing","Travis Sampson")</f>
        <v>Travis Sampson</v>
      </c>
      <c r="B371" s="13">
        <v>9.0</v>
      </c>
      <c r="C371" s="13">
        <v>12.0</v>
      </c>
      <c r="D371" s="13">
        <v>5.0</v>
      </c>
      <c r="E371" s="16">
        <v>2.4</v>
      </c>
      <c r="F371" s="17">
        <v>0.0286</v>
      </c>
      <c r="G371" s="13">
        <v>12.0</v>
      </c>
      <c r="H371" s="13">
        <v>1.0</v>
      </c>
      <c r="I371" s="13" t="s">
        <v>42</v>
      </c>
      <c r="J371" s="13" t="s">
        <v>60</v>
      </c>
      <c r="K371" s="13" t="s">
        <v>91</v>
      </c>
      <c r="L371" s="13">
        <v>1.0</v>
      </c>
      <c r="M371" s="13">
        <v>1.0</v>
      </c>
      <c r="N371" s="13" t="s">
        <v>23</v>
      </c>
      <c r="O371" s="13">
        <v>4.0</v>
      </c>
      <c r="P371" s="10" t="s">
        <v>23</v>
      </c>
      <c r="Q371" s="10" t="s">
        <v>23</v>
      </c>
      <c r="R371" s="10"/>
      <c r="S371" s="10" t="s">
        <v>23</v>
      </c>
      <c r="T371" s="10"/>
      <c r="U371" s="10" t="s">
        <v>23</v>
      </c>
    </row>
    <row r="372">
      <c r="A372" s="9" t="str">
        <f>HYPERLINK("https://docs.google.com/spreadsheets/d/1nRsx7fR5xbH1eAbI_vBDvqXOgh7mXIwmZNhzrVL6oGM/edit?usp=sharing","Gabriel Cade")</f>
        <v>Gabriel Cade</v>
      </c>
      <c r="B372" s="10">
        <v>4.0</v>
      </c>
      <c r="C372" s="10">
        <v>12.0</v>
      </c>
      <c r="D372" s="10">
        <v>5.0</v>
      </c>
      <c r="E372" s="11">
        <v>2.4</v>
      </c>
      <c r="F372" s="12">
        <v>0.0251</v>
      </c>
      <c r="G372" s="10">
        <v>15.0</v>
      </c>
      <c r="H372" s="10" t="s">
        <v>23</v>
      </c>
      <c r="I372" s="10" t="s">
        <v>42</v>
      </c>
      <c r="J372" s="10" t="s">
        <v>60</v>
      </c>
      <c r="K372" s="10" t="s">
        <v>106</v>
      </c>
      <c r="L372" s="13">
        <v>2.0</v>
      </c>
      <c r="M372" s="13">
        <v>4.0</v>
      </c>
      <c r="N372" s="13" t="s">
        <v>23</v>
      </c>
      <c r="O372" s="13">
        <v>1.0</v>
      </c>
      <c r="P372" s="10" t="s">
        <v>23</v>
      </c>
      <c r="Q372" s="10" t="s">
        <v>23</v>
      </c>
      <c r="R372" s="10"/>
      <c r="S372" s="10" t="s">
        <v>23</v>
      </c>
      <c r="T372" s="10"/>
      <c r="U372" s="10" t="s">
        <v>23</v>
      </c>
    </row>
    <row r="373">
      <c r="A373" s="15" t="str">
        <f>HYPERLINK("https://docs.google.com/spreadsheets/d/1Hf_PbZTXAuooCoiF7c3Bz80t5-zCjdWHF8wQ_HyodNs/edit?usp=sharing","Stephanie Rae")</f>
        <v>Stephanie Rae</v>
      </c>
      <c r="B373" s="13">
        <v>36.0</v>
      </c>
      <c r="C373" s="13">
        <v>12.0</v>
      </c>
      <c r="D373" s="13">
        <v>5.0</v>
      </c>
      <c r="E373" s="16">
        <v>2.4</v>
      </c>
      <c r="F373" s="17">
        <v>0.0305</v>
      </c>
      <c r="G373" s="13">
        <v>14.0</v>
      </c>
      <c r="H373" s="13" t="s">
        <v>23</v>
      </c>
      <c r="I373" s="13" t="s">
        <v>42</v>
      </c>
      <c r="J373" s="13" t="s">
        <v>60</v>
      </c>
      <c r="K373" s="13" t="s">
        <v>103</v>
      </c>
      <c r="L373" s="13">
        <v>2.0</v>
      </c>
      <c r="M373" s="13">
        <v>1.0</v>
      </c>
      <c r="N373" s="13" t="s">
        <v>23</v>
      </c>
      <c r="O373" s="13">
        <v>4.0</v>
      </c>
      <c r="P373" s="13">
        <v>1.0</v>
      </c>
      <c r="Q373" s="13" t="s">
        <v>23</v>
      </c>
      <c r="R373" s="13"/>
      <c r="S373" s="13" t="s">
        <v>23</v>
      </c>
      <c r="T373" s="13" t="s">
        <v>23</v>
      </c>
      <c r="U373" s="13" t="s">
        <v>23</v>
      </c>
    </row>
    <row r="374">
      <c r="A374" s="9" t="str">
        <f>HYPERLINK("https://docs.google.com/spreadsheets/d/1LR80O0PvsOvoTuN5gHQd3Rls4b1rZmJd7EZ_DR2oRHs/edit?usp=sharing","Shamar Thomas")</f>
        <v>Shamar Thomas</v>
      </c>
      <c r="B374" s="10">
        <v>26.0</v>
      </c>
      <c r="C374" s="10">
        <v>12.0</v>
      </c>
      <c r="D374" s="10">
        <v>4.0</v>
      </c>
      <c r="E374" s="11">
        <v>3.0</v>
      </c>
      <c r="F374" s="12">
        <v>0.0291</v>
      </c>
      <c r="G374" s="10">
        <v>10.0</v>
      </c>
      <c r="H374" s="10" t="s">
        <v>23</v>
      </c>
      <c r="I374" s="10" t="s">
        <v>42</v>
      </c>
      <c r="J374" s="10" t="s">
        <v>60</v>
      </c>
      <c r="K374" s="10" t="s">
        <v>96</v>
      </c>
      <c r="L374" s="13" t="s">
        <v>23</v>
      </c>
      <c r="M374" s="13">
        <v>1.0</v>
      </c>
      <c r="N374" s="13" t="s">
        <v>23</v>
      </c>
      <c r="O374" s="13">
        <v>2.0</v>
      </c>
      <c r="P374" s="10" t="s">
        <v>23</v>
      </c>
      <c r="Q374" s="10" t="s">
        <v>23</v>
      </c>
      <c r="R374" s="10"/>
      <c r="S374" s="10" t="s">
        <v>23</v>
      </c>
      <c r="T374" s="10"/>
      <c r="U374" s="10" t="s">
        <v>92</v>
      </c>
    </row>
    <row r="375">
      <c r="A375" s="9" t="str">
        <f>HYPERLINK("https://docs.google.com/spreadsheets/d/1hg_GT4r2smQsgkwEYBqHOukVavnNSyncsyfceWDpOho/edit?usp=sharing","Rob Cesternino")</f>
        <v>Rob Cesternino</v>
      </c>
      <c r="B375" s="10">
        <v>8.0</v>
      </c>
      <c r="C375" s="10">
        <v>12.0</v>
      </c>
      <c r="D375" s="10">
        <v>4.0</v>
      </c>
      <c r="E375" s="11">
        <v>3.0</v>
      </c>
      <c r="F375" s="12">
        <v>0.0237</v>
      </c>
      <c r="G375" s="10">
        <v>12.0</v>
      </c>
      <c r="H375" s="10" t="s">
        <v>23</v>
      </c>
      <c r="I375" s="10" t="s">
        <v>42</v>
      </c>
      <c r="J375" s="10" t="s">
        <v>60</v>
      </c>
      <c r="K375" s="10" t="s">
        <v>113</v>
      </c>
      <c r="L375" s="13">
        <v>3.0</v>
      </c>
      <c r="M375" s="13">
        <v>2.0</v>
      </c>
      <c r="N375" s="13" t="s">
        <v>23</v>
      </c>
      <c r="O375" s="13">
        <v>1.0</v>
      </c>
      <c r="P375" s="10" t="s">
        <v>23</v>
      </c>
      <c r="Q375" s="10" t="s">
        <v>23</v>
      </c>
      <c r="R375" s="10"/>
      <c r="S375" s="10" t="s">
        <v>23</v>
      </c>
      <c r="T375" s="10"/>
      <c r="U375" s="10" t="s">
        <v>23</v>
      </c>
    </row>
    <row r="376">
      <c r="A376" s="9" t="str">
        <f>HYPERLINK("https://docs.google.com/spreadsheets/d/1LR80O0PvsOvoTuN5gHQd3Rls4b1rZmJd7EZ_DR2oRHs/edit?usp=sharing","Laura Alexander")</f>
        <v>Laura Alexander</v>
      </c>
      <c r="B376" s="10">
        <v>26.0</v>
      </c>
      <c r="C376" s="10">
        <v>12.0</v>
      </c>
      <c r="D376" s="10">
        <v>4.0</v>
      </c>
      <c r="E376" s="11">
        <v>3.0</v>
      </c>
      <c r="F376" s="12">
        <v>0.0291</v>
      </c>
      <c r="G376" s="10">
        <v>10.0</v>
      </c>
      <c r="H376" s="10" t="s">
        <v>23</v>
      </c>
      <c r="I376" s="10" t="s">
        <v>42</v>
      </c>
      <c r="J376" s="10" t="s">
        <v>60</v>
      </c>
      <c r="K376" s="10" t="s">
        <v>103</v>
      </c>
      <c r="L376" s="13" t="s">
        <v>23</v>
      </c>
      <c r="M376" s="13">
        <v>1.0</v>
      </c>
      <c r="N376" s="13" t="s">
        <v>23</v>
      </c>
      <c r="O376" s="13">
        <v>3.0</v>
      </c>
      <c r="P376" s="10" t="s">
        <v>23</v>
      </c>
      <c r="Q376" s="10" t="s">
        <v>23</v>
      </c>
      <c r="R376" s="10"/>
      <c r="S376" s="10" t="s">
        <v>23</v>
      </c>
      <c r="T376" s="10"/>
      <c r="U376" s="10" t="s">
        <v>23</v>
      </c>
    </row>
    <row r="377">
      <c r="A377" s="9" t="str">
        <f>HYPERLINK("https://docs.google.com/spreadsheets/d/18wmIvmUS3SeZNSPQeUzr6sPl9GBYpVSlOaFR_kJCmKo/edit?usp=sharing","Maralyn Hershey")</f>
        <v>Maralyn Hershey</v>
      </c>
      <c r="B377" s="10">
        <v>2.0</v>
      </c>
      <c r="C377" s="10">
        <v>12.0</v>
      </c>
      <c r="D377" s="10">
        <v>3.0</v>
      </c>
      <c r="E377" s="11">
        <v>4.0</v>
      </c>
      <c r="F377" s="12">
        <v>0.0214</v>
      </c>
      <c r="G377" s="10">
        <v>9.0</v>
      </c>
      <c r="H377" s="10" t="s">
        <v>23</v>
      </c>
      <c r="I377" s="10" t="s">
        <v>42</v>
      </c>
      <c r="J377" s="10" t="s">
        <v>60</v>
      </c>
      <c r="K377" s="10" t="s">
        <v>137</v>
      </c>
      <c r="L377" s="13">
        <v>3.0</v>
      </c>
      <c r="M377" s="13">
        <v>1.0</v>
      </c>
      <c r="N377" s="13" t="s">
        <v>23</v>
      </c>
      <c r="O377" s="13">
        <v>2.0</v>
      </c>
      <c r="P377" s="10" t="s">
        <v>23</v>
      </c>
      <c r="Q377" s="10" t="s">
        <v>23</v>
      </c>
      <c r="R377" s="10"/>
      <c r="S377" s="10" t="s">
        <v>23</v>
      </c>
      <c r="T377" s="10"/>
      <c r="U377" s="10" t="s">
        <v>23</v>
      </c>
    </row>
    <row r="378">
      <c r="A378" s="9" t="str">
        <f>HYPERLINK("https://docs.google.com/spreadsheets/d/1nYlVL4RxK2ZUH-a4MfKCalHyEjDRWz2ZumhyoaYsjTE/edit?usp=sharing","Jimmy Johnson")</f>
        <v>Jimmy Johnson</v>
      </c>
      <c r="B378" s="10">
        <v>21.0</v>
      </c>
      <c r="C378" s="10">
        <v>12.0</v>
      </c>
      <c r="D378" s="10">
        <v>3.0</v>
      </c>
      <c r="E378" s="11">
        <v>4.0</v>
      </c>
      <c r="F378" s="12">
        <v>0.0288</v>
      </c>
      <c r="G378" s="10">
        <v>8.0</v>
      </c>
      <c r="H378" s="10" t="s">
        <v>23</v>
      </c>
      <c r="I378" s="10" t="s">
        <v>42</v>
      </c>
      <c r="J378" s="10" t="s">
        <v>60</v>
      </c>
      <c r="K378" s="10" t="s">
        <v>124</v>
      </c>
      <c r="L378" s="13">
        <v>1.0</v>
      </c>
      <c r="M378" s="13">
        <v>1.0</v>
      </c>
      <c r="N378" s="13" t="s">
        <v>23</v>
      </c>
      <c r="O378" s="13">
        <v>2.0</v>
      </c>
      <c r="P378" s="10" t="s">
        <v>23</v>
      </c>
      <c r="Q378" s="10" t="s">
        <v>23</v>
      </c>
      <c r="R378" s="10"/>
      <c r="S378" s="10" t="s">
        <v>23</v>
      </c>
      <c r="T378" s="10"/>
      <c r="U378" s="10" t="s">
        <v>23</v>
      </c>
    </row>
    <row r="379">
      <c r="A379" s="9" t="str">
        <f>HYPERLINK("https://docs.google.com/spreadsheets/d/1CcEdjXKuhm6HmXecNbnscxpFab1HRQEjKSDga6QxqAU/edit?usp=sharing","Francesca Hogi")</f>
        <v>Francesca Hogi</v>
      </c>
      <c r="B379" s="10">
        <v>22.0</v>
      </c>
      <c r="C379" s="10">
        <v>12.0</v>
      </c>
      <c r="D379" s="10">
        <v>3.0</v>
      </c>
      <c r="E379" s="11">
        <v>4.0</v>
      </c>
      <c r="F379" s="12">
        <v>0.0283</v>
      </c>
      <c r="G379" s="10">
        <v>6.0</v>
      </c>
      <c r="H379" s="10">
        <v>1.0</v>
      </c>
      <c r="I379" s="10" t="s">
        <v>42</v>
      </c>
      <c r="J379" s="10" t="s">
        <v>60</v>
      </c>
      <c r="K379" s="10" t="s">
        <v>138</v>
      </c>
      <c r="L379" s="13" t="s">
        <v>23</v>
      </c>
      <c r="M379" s="13" t="s">
        <v>23</v>
      </c>
      <c r="N379" s="13" t="s">
        <v>23</v>
      </c>
      <c r="O379" s="13">
        <v>1.0</v>
      </c>
      <c r="P379" s="13" t="s">
        <v>23</v>
      </c>
      <c r="Q379" s="13">
        <v>1.0</v>
      </c>
      <c r="R379" s="13"/>
      <c r="S379" s="10" t="s">
        <v>23</v>
      </c>
      <c r="T379" s="10"/>
      <c r="U379" s="10" t="s">
        <v>23</v>
      </c>
    </row>
    <row r="380">
      <c r="A380" s="9" t="str">
        <f>HYPERLINK("https://docs.google.com/spreadsheets/d/1HA0vQC0CSnQtVc8u58vwNd3sIFCc79SKVqM1abMG1hI/edit?usp=sharing","Vince Sly")</f>
        <v>Vince Sly</v>
      </c>
      <c r="B380" s="10">
        <v>30.0</v>
      </c>
      <c r="C380" s="10">
        <v>12.0</v>
      </c>
      <c r="D380" s="10">
        <v>2.0</v>
      </c>
      <c r="E380" s="11">
        <v>6.0</v>
      </c>
      <c r="F380" s="12">
        <v>0.0263</v>
      </c>
      <c r="G380" s="10">
        <v>6.0</v>
      </c>
      <c r="H380" s="10" t="s">
        <v>23</v>
      </c>
      <c r="I380" s="10" t="s">
        <v>42</v>
      </c>
      <c r="J380" s="10" t="s">
        <v>60</v>
      </c>
      <c r="K380" s="10" t="s">
        <v>128</v>
      </c>
      <c r="L380" s="13">
        <v>1.0</v>
      </c>
      <c r="M380" s="13">
        <v>1.0</v>
      </c>
      <c r="N380" s="13" t="s">
        <v>23</v>
      </c>
      <c r="O380" s="13">
        <v>1.0</v>
      </c>
      <c r="P380" s="10" t="s">
        <v>23</v>
      </c>
      <c r="Q380" s="10" t="s">
        <v>23</v>
      </c>
      <c r="R380" s="10"/>
      <c r="S380" s="10" t="s">
        <v>23</v>
      </c>
      <c r="T380" s="10"/>
      <c r="U380" s="10" t="s">
        <v>23</v>
      </c>
    </row>
    <row r="381">
      <c r="A381" s="15" t="str">
        <f>HYPERLINK("https://docs.google.com/spreadsheets/d/1tElnwN2HVf964gGw8Ei53RyfjarS40wkDY3zivAPWp0/edit?usp=sharing","Tony Vlachos")</f>
        <v>Tony Vlachos</v>
      </c>
      <c r="B381" s="13">
        <v>34.0</v>
      </c>
      <c r="C381" s="13">
        <v>12.0</v>
      </c>
      <c r="D381" s="13">
        <v>2.0</v>
      </c>
      <c r="E381" s="16">
        <v>6.0</v>
      </c>
      <c r="F381" s="17">
        <v>0.0291</v>
      </c>
      <c r="G381" s="13">
        <v>6.0</v>
      </c>
      <c r="H381" s="13" t="s">
        <v>23</v>
      </c>
      <c r="I381" s="13" t="s">
        <v>42</v>
      </c>
      <c r="J381" s="13" t="s">
        <v>60</v>
      </c>
      <c r="K381" s="13" t="s">
        <v>131</v>
      </c>
      <c r="L381" s="13" t="s">
        <v>23</v>
      </c>
      <c r="M381" s="13" t="s">
        <v>23</v>
      </c>
      <c r="N381" s="13" t="s">
        <v>23</v>
      </c>
      <c r="O381" s="13">
        <v>2.0</v>
      </c>
      <c r="P381" s="13" t="s">
        <v>23</v>
      </c>
      <c r="Q381" s="13" t="s">
        <v>23</v>
      </c>
      <c r="R381" s="13"/>
      <c r="S381" s="13" t="s">
        <v>23</v>
      </c>
      <c r="T381" s="13" t="s">
        <v>23</v>
      </c>
      <c r="U381" s="13" t="s">
        <v>23</v>
      </c>
    </row>
    <row r="382">
      <c r="A382" s="9" t="str">
        <f>HYPERLINK("https://docs.google.com/spreadsheets/d/1tPYt5CqjX32YXnh0BRsechvszEP2n4_ePabpiRTSzqE/edit?usp=sharing","Ryan Shoulders")</f>
        <v>Ryan Shoulders</v>
      </c>
      <c r="B382" s="10">
        <v>7.0</v>
      </c>
      <c r="C382" s="10">
        <v>12.0</v>
      </c>
      <c r="D382" s="10">
        <v>2.0</v>
      </c>
      <c r="E382" s="11">
        <v>6.0</v>
      </c>
      <c r="F382" s="12">
        <v>0.024</v>
      </c>
      <c r="G382" s="10">
        <v>7.0</v>
      </c>
      <c r="H382" s="10" t="s">
        <v>23</v>
      </c>
      <c r="I382" s="10" t="s">
        <v>42</v>
      </c>
      <c r="J382" s="10" t="s">
        <v>60</v>
      </c>
      <c r="K382" s="10" t="s">
        <v>139</v>
      </c>
      <c r="L382" s="13" t="s">
        <v>23</v>
      </c>
      <c r="M382" s="13" t="s">
        <v>23</v>
      </c>
      <c r="N382" s="13" t="s">
        <v>23</v>
      </c>
      <c r="O382" s="13">
        <v>2.0</v>
      </c>
      <c r="P382" s="10" t="s">
        <v>23</v>
      </c>
      <c r="Q382" s="10" t="s">
        <v>23</v>
      </c>
      <c r="R382" s="10"/>
      <c r="S382" s="10" t="s">
        <v>23</v>
      </c>
      <c r="T382" s="10"/>
      <c r="U382" s="10" t="s">
        <v>23</v>
      </c>
    </row>
    <row r="383">
      <c r="A383" s="15" t="str">
        <f>HYPERLINK("https://docs.google.com/spreadsheets/d/1Hf_PbZTXAuooCoiF7c3Bz80t5-zCjdWHF8wQ_HyodNs/edit?usp=sharing","Libby Vincek")</f>
        <v>Libby Vincek</v>
      </c>
      <c r="B383" s="13">
        <v>36.0</v>
      </c>
      <c r="C383" s="13">
        <v>11.0</v>
      </c>
      <c r="D383" s="13">
        <v>9.0</v>
      </c>
      <c r="E383" s="16">
        <v>1.22</v>
      </c>
      <c r="F383" s="17">
        <v>0.028</v>
      </c>
      <c r="G383" s="13">
        <v>25.0</v>
      </c>
      <c r="H383" s="13">
        <v>5.0</v>
      </c>
      <c r="I383" s="13" t="s">
        <v>9</v>
      </c>
      <c r="J383" s="13" t="s">
        <v>48</v>
      </c>
      <c r="K383" s="13" t="s">
        <v>82</v>
      </c>
      <c r="L383" s="13">
        <v>6.0</v>
      </c>
      <c r="M383" s="13">
        <v>3.0</v>
      </c>
      <c r="N383" s="13" t="s">
        <v>23</v>
      </c>
      <c r="O383" s="13">
        <v>6.0</v>
      </c>
      <c r="P383" s="13" t="s">
        <v>23</v>
      </c>
      <c r="Q383" s="13" t="s">
        <v>23</v>
      </c>
      <c r="R383" s="13"/>
      <c r="S383" s="13" t="s">
        <v>23</v>
      </c>
      <c r="T383" s="13" t="s">
        <v>23</v>
      </c>
      <c r="U383" s="13" t="s">
        <v>23</v>
      </c>
    </row>
    <row r="384">
      <c r="A384" s="9" t="str">
        <f>HYPERLINK("https://docs.google.com/spreadsheets/d/1CcEdjXKuhm6HmXecNbnscxpFab1HRQEjKSDga6QxqAU/edit?usp=sharing","Sarita White")</f>
        <v>Sarita White</v>
      </c>
      <c r="B384" s="10">
        <v>22.0</v>
      </c>
      <c r="C384" s="10">
        <v>11.0</v>
      </c>
      <c r="D384" s="10">
        <v>8.0</v>
      </c>
      <c r="E384" s="11">
        <v>1.38</v>
      </c>
      <c r="F384" s="12">
        <v>0.0259</v>
      </c>
      <c r="G384" s="10">
        <v>19.0</v>
      </c>
      <c r="H384" s="10">
        <v>3.0</v>
      </c>
      <c r="I384" s="10" t="s">
        <v>42</v>
      </c>
      <c r="J384" s="10" t="s">
        <v>60</v>
      </c>
      <c r="K384" s="10" t="s">
        <v>91</v>
      </c>
      <c r="L384" s="13">
        <v>3.0</v>
      </c>
      <c r="M384" s="13">
        <v>3.0</v>
      </c>
      <c r="N384" s="13" t="s">
        <v>23</v>
      </c>
      <c r="O384" s="13">
        <v>4.0</v>
      </c>
      <c r="P384" s="13" t="s">
        <v>23</v>
      </c>
      <c r="Q384" s="13">
        <v>1.0</v>
      </c>
      <c r="R384" s="13"/>
      <c r="S384" s="10" t="s">
        <v>23</v>
      </c>
      <c r="T384" s="10"/>
      <c r="U384" s="10" t="s">
        <v>23</v>
      </c>
    </row>
    <row r="385">
      <c r="A385" s="9" t="str">
        <f>HYPERLINK("https://docs.google.com/spreadsheets/d/1X-5lK1sJCBpvE08rC1VdSsGvayqyrC62cK7W45Q4XX8/edit?usp=sharing","Kat Edorsson")</f>
        <v>Kat Edorsson</v>
      </c>
      <c r="B385" s="10">
        <v>27.0</v>
      </c>
      <c r="C385" s="10">
        <v>11.0</v>
      </c>
      <c r="D385" s="10">
        <v>7.0</v>
      </c>
      <c r="E385" s="11">
        <v>1.57</v>
      </c>
      <c r="F385" s="12">
        <v>0.0254</v>
      </c>
      <c r="G385" s="10">
        <v>17.0</v>
      </c>
      <c r="H385" s="10">
        <v>2.0</v>
      </c>
      <c r="I385" s="10" t="s">
        <v>42</v>
      </c>
      <c r="J385" s="10" t="s">
        <v>60</v>
      </c>
      <c r="K385" s="10" t="s">
        <v>111</v>
      </c>
      <c r="L385" s="13">
        <v>4.0</v>
      </c>
      <c r="M385" s="13">
        <v>4.0</v>
      </c>
      <c r="N385" s="13" t="s">
        <v>23</v>
      </c>
      <c r="O385" s="13">
        <v>2.0</v>
      </c>
      <c r="P385" s="13" t="s">
        <v>23</v>
      </c>
      <c r="Q385" s="13">
        <v>1.0</v>
      </c>
      <c r="R385" s="13"/>
      <c r="S385" s="10" t="s">
        <v>23</v>
      </c>
      <c r="T385" s="10"/>
      <c r="U385" s="10" t="s">
        <v>23</v>
      </c>
    </row>
    <row r="386">
      <c r="A386" s="9" t="str">
        <f>HYPERLINK("https://docs.google.com/spreadsheets/d/1EsGJrNyA7pLwFUlZ6WfOkbnPz58Cle9N9c6epQSDRVA/edit?usp=sharing","Woo Hwang")</f>
        <v>Woo Hwang</v>
      </c>
      <c r="B386" s="10">
        <v>31.0</v>
      </c>
      <c r="C386" s="10">
        <v>11.0</v>
      </c>
      <c r="D386" s="10">
        <v>6.0</v>
      </c>
      <c r="E386" s="11">
        <v>1.83</v>
      </c>
      <c r="F386" s="12">
        <v>0.0251</v>
      </c>
      <c r="G386" s="10">
        <v>16.0</v>
      </c>
      <c r="H386" s="10">
        <v>1.0</v>
      </c>
      <c r="I386" s="10" t="s">
        <v>42</v>
      </c>
      <c r="J386" s="10" t="s">
        <v>60</v>
      </c>
      <c r="K386" s="10" t="s">
        <v>111</v>
      </c>
      <c r="L386" s="13">
        <v>4.0</v>
      </c>
      <c r="M386" s="13">
        <v>1.0</v>
      </c>
      <c r="N386" s="13" t="s">
        <v>23</v>
      </c>
      <c r="O386" s="13">
        <v>5.0</v>
      </c>
      <c r="P386" s="10" t="s">
        <v>23</v>
      </c>
      <c r="Q386" s="10" t="s">
        <v>23</v>
      </c>
      <c r="R386" s="10"/>
      <c r="S386" s="10" t="s">
        <v>23</v>
      </c>
      <c r="T386" s="10"/>
      <c r="U386" s="10" t="s">
        <v>23</v>
      </c>
    </row>
    <row r="387">
      <c r="A387" s="9" t="str">
        <f>HYPERLINK("https://docs.google.com/spreadsheets/d/1ReMaq-fM8zzflOjjrMrgnxEsdZxPIPIJqiZ9cCLO3cE/edit?usp=sharing","Katie Hanson")</f>
        <v>Katie Hanson</v>
      </c>
      <c r="B387" s="10">
        <v>25.0</v>
      </c>
      <c r="C387" s="10">
        <v>11.0</v>
      </c>
      <c r="D387" s="10">
        <v>6.0</v>
      </c>
      <c r="E387" s="11">
        <v>1.83</v>
      </c>
      <c r="F387" s="12">
        <v>0.0253</v>
      </c>
      <c r="G387" s="10">
        <v>16.0</v>
      </c>
      <c r="H387" s="10">
        <v>3.0</v>
      </c>
      <c r="I387" s="10" t="s">
        <v>42</v>
      </c>
      <c r="J387" s="10" t="s">
        <v>60</v>
      </c>
      <c r="K387" s="10" t="s">
        <v>105</v>
      </c>
      <c r="L387" s="13">
        <v>5.0</v>
      </c>
      <c r="M387" s="13">
        <v>4.0</v>
      </c>
      <c r="N387" s="13" t="s">
        <v>23</v>
      </c>
      <c r="O387" s="13">
        <v>2.0</v>
      </c>
      <c r="P387" s="10" t="s">
        <v>23</v>
      </c>
      <c r="Q387" s="10" t="s">
        <v>23</v>
      </c>
      <c r="R387" s="10"/>
      <c r="S387" s="10" t="s">
        <v>23</v>
      </c>
      <c r="T387" s="10"/>
      <c r="U387" s="10" t="s">
        <v>23</v>
      </c>
    </row>
    <row r="388">
      <c r="A388" s="15" t="str">
        <f>HYPERLINK("https://docs.google.com/spreadsheets/d/1VEbyebFdBtPJKQC_U2uGrW6_v1fn6Hsoz3YYLyCxHR0/edit?usp=sharing","Dan Barry")</f>
        <v>Dan Barry</v>
      </c>
      <c r="B388" s="13">
        <v>12.0</v>
      </c>
      <c r="C388" s="13">
        <v>11.0</v>
      </c>
      <c r="D388" s="13">
        <v>6.0</v>
      </c>
      <c r="E388" s="16">
        <v>1.83</v>
      </c>
      <c r="F388" s="17">
        <v>0.0571</v>
      </c>
      <c r="G388" s="13">
        <v>15.0</v>
      </c>
      <c r="H388" s="13" t="s">
        <v>23</v>
      </c>
      <c r="I388" s="13" t="s">
        <v>42</v>
      </c>
      <c r="J388" s="13" t="s">
        <v>60</v>
      </c>
      <c r="K388" s="13" t="s">
        <v>78</v>
      </c>
      <c r="L388" s="13">
        <v>3.0</v>
      </c>
      <c r="M388" s="13">
        <v>3.0</v>
      </c>
      <c r="N388" s="13" t="s">
        <v>23</v>
      </c>
      <c r="O388" s="13">
        <v>3.0</v>
      </c>
      <c r="P388" s="13" t="s">
        <v>23</v>
      </c>
      <c r="Q388" s="13" t="s">
        <v>23</v>
      </c>
      <c r="R388" s="13"/>
      <c r="S388" s="13" t="s">
        <v>23</v>
      </c>
      <c r="T388" s="13" t="s">
        <v>23</v>
      </c>
      <c r="U388" s="13" t="s">
        <v>23</v>
      </c>
    </row>
    <row r="389">
      <c r="A389" s="9" t="str">
        <f>HYPERLINK("https://docs.google.com/spreadsheets/d/14eN4V4imd53x81UQVckjyAx_2xIFGXJ8NE4XmE1oDkg/edit?usp=sharing","Dirk Been")</f>
        <v>Dirk Been</v>
      </c>
      <c r="B389" s="10">
        <v>1.0</v>
      </c>
      <c r="C389" s="10">
        <v>11.0</v>
      </c>
      <c r="D389" s="10">
        <v>5.0</v>
      </c>
      <c r="E389" s="11">
        <v>2.2</v>
      </c>
      <c r="F389" s="14">
        <v>0.0167</v>
      </c>
      <c r="G389" s="10">
        <v>15.0</v>
      </c>
      <c r="H389" s="10">
        <v>1.0</v>
      </c>
      <c r="I389" s="10" t="s">
        <v>42</v>
      </c>
      <c r="J389" s="10" t="s">
        <v>60</v>
      </c>
      <c r="K389" s="10" t="s">
        <v>106</v>
      </c>
      <c r="L389" s="13">
        <v>2.0</v>
      </c>
      <c r="M389" s="13">
        <v>2.0</v>
      </c>
      <c r="N389" s="13" t="s">
        <v>23</v>
      </c>
      <c r="O389" s="13">
        <v>3.0</v>
      </c>
      <c r="P389" s="10" t="s">
        <v>23</v>
      </c>
      <c r="Q389" s="10" t="s">
        <v>23</v>
      </c>
      <c r="R389" s="10"/>
      <c r="S389" s="10" t="s">
        <v>23</v>
      </c>
      <c r="T389" s="10"/>
      <c r="U389" s="10" t="s">
        <v>23</v>
      </c>
    </row>
    <row r="390">
      <c r="A390" s="9" t="str">
        <f>HYPERLINK("https://docs.google.com/spreadsheets/d/1nYlVL4RxK2ZUH-a4MfKCalHyEjDRWz2ZumhyoaYsjTE/edit?usp=sharing","Jimmy Tarantino")</f>
        <v>Jimmy Tarantino</v>
      </c>
      <c r="B390" s="10">
        <v>21.0</v>
      </c>
      <c r="C390" s="10">
        <v>11.0</v>
      </c>
      <c r="D390" s="10">
        <v>4.0</v>
      </c>
      <c r="E390" s="11">
        <v>2.75</v>
      </c>
      <c r="F390" s="12">
        <v>0.0264</v>
      </c>
      <c r="G390" s="10">
        <v>11.0</v>
      </c>
      <c r="H390" s="10" t="s">
        <v>23</v>
      </c>
      <c r="I390" s="10" t="s">
        <v>42</v>
      </c>
      <c r="J390" s="10" t="s">
        <v>60</v>
      </c>
      <c r="K390" s="10" t="s">
        <v>96</v>
      </c>
      <c r="L390" s="13">
        <v>1.0</v>
      </c>
      <c r="M390" s="13">
        <v>1.0</v>
      </c>
      <c r="N390" s="13" t="s">
        <v>23</v>
      </c>
      <c r="O390" s="13">
        <v>3.0</v>
      </c>
      <c r="P390" s="10" t="s">
        <v>23</v>
      </c>
      <c r="Q390" s="10" t="s">
        <v>23</v>
      </c>
      <c r="R390" s="10"/>
      <c r="S390" s="10" t="s">
        <v>23</v>
      </c>
      <c r="T390" s="10"/>
      <c r="U390" s="10" t="s">
        <v>23</v>
      </c>
    </row>
    <row r="391">
      <c r="A391" s="9" t="str">
        <f>HYPERLINK("https://docs.google.com/spreadsheets/d/1iNFGyKFcJm-tPp7Dg94yi7mHCDbJssmAD_PiaDM_tAE/edit?usp=sharing","John Rocker")</f>
        <v>John Rocker</v>
      </c>
      <c r="B391" s="10">
        <v>29.0</v>
      </c>
      <c r="C391" s="10">
        <v>11.0</v>
      </c>
      <c r="D391" s="10">
        <v>3.0</v>
      </c>
      <c r="E391" s="11">
        <v>3.67</v>
      </c>
      <c r="F391" s="12">
        <v>0.0247</v>
      </c>
      <c r="G391" s="10">
        <v>8.0</v>
      </c>
      <c r="H391" s="10" t="s">
        <v>23</v>
      </c>
      <c r="I391" s="10" t="s">
        <v>42</v>
      </c>
      <c r="J391" s="10" t="s">
        <v>60</v>
      </c>
      <c r="K391" s="10" t="s">
        <v>136</v>
      </c>
      <c r="L391" s="23">
        <v>1.0</v>
      </c>
      <c r="M391" s="23" t="s">
        <v>23</v>
      </c>
      <c r="N391" s="23" t="s">
        <v>23</v>
      </c>
      <c r="O391" s="23">
        <v>3.0</v>
      </c>
      <c r="P391" s="23">
        <v>1.0</v>
      </c>
      <c r="Q391" s="23" t="s">
        <v>23</v>
      </c>
      <c r="R391" s="23"/>
      <c r="S391" s="23">
        <v>1.0</v>
      </c>
      <c r="T391" s="23"/>
      <c r="U391" s="10" t="s">
        <v>23</v>
      </c>
    </row>
    <row r="392">
      <c r="A392" s="9" t="str">
        <f>HYPERLINK("https://docs.google.com/spreadsheets/d/1y7awzkkkaNlh7XKjc44AGriTvqB9H3pVz8cFLyIYdbo/edit?usp=sharing","Garrett Adelstein")</f>
        <v>Garrett Adelstein</v>
      </c>
      <c r="B392" s="10">
        <v>28.0</v>
      </c>
      <c r="C392" s="10">
        <v>11.0</v>
      </c>
      <c r="D392" s="10">
        <v>2.0</v>
      </c>
      <c r="E392" s="11">
        <v>5.5</v>
      </c>
      <c r="F392" s="12">
        <v>0.024</v>
      </c>
      <c r="G392" s="10">
        <v>6.0</v>
      </c>
      <c r="H392" s="10" t="s">
        <v>23</v>
      </c>
      <c r="I392" s="10" t="s">
        <v>42</v>
      </c>
      <c r="J392" s="10" t="s">
        <v>60</v>
      </c>
      <c r="K392" s="10" t="s">
        <v>128</v>
      </c>
      <c r="L392" s="13" t="s">
        <v>23</v>
      </c>
      <c r="M392" s="13" t="s">
        <v>23</v>
      </c>
      <c r="N392" s="13" t="s">
        <v>23</v>
      </c>
      <c r="O392" s="13">
        <v>2.0</v>
      </c>
      <c r="P392" s="10" t="s">
        <v>23</v>
      </c>
      <c r="Q392" s="10" t="s">
        <v>23</v>
      </c>
      <c r="R392" s="10"/>
      <c r="S392" s="10">
        <v>1.0</v>
      </c>
      <c r="T392" s="10"/>
      <c r="U392" s="10" t="s">
        <v>23</v>
      </c>
    </row>
    <row r="393">
      <c r="A393" s="9" t="str">
        <f>HYPERLINK("https://docs.google.com/spreadsheets/d/14eN4V4imd53x81UQVckjyAx_2xIFGXJ8NE4XmE1oDkg/edit?usp=sharing","B.B. Anderson")</f>
        <v>B.B. Anderson</v>
      </c>
      <c r="B393" s="10">
        <v>1.0</v>
      </c>
      <c r="C393" s="10">
        <v>11.0</v>
      </c>
      <c r="D393" s="10">
        <v>2.0</v>
      </c>
      <c r="E393" s="11">
        <v>5.5</v>
      </c>
      <c r="F393" s="14">
        <v>0.0167</v>
      </c>
      <c r="G393" s="10">
        <v>6.0</v>
      </c>
      <c r="H393" s="10" t="s">
        <v>23</v>
      </c>
      <c r="I393" s="10" t="s">
        <v>42</v>
      </c>
      <c r="J393" s="10" t="s">
        <v>60</v>
      </c>
      <c r="K393" s="10" t="s">
        <v>139</v>
      </c>
      <c r="L393" s="13">
        <v>2.0</v>
      </c>
      <c r="M393" s="13">
        <v>1.0</v>
      </c>
      <c r="N393" s="13" t="s">
        <v>23</v>
      </c>
      <c r="O393" s="13">
        <v>1.0</v>
      </c>
      <c r="P393" s="10" t="s">
        <v>23</v>
      </c>
      <c r="Q393" s="10" t="s">
        <v>23</v>
      </c>
      <c r="R393" s="10"/>
      <c r="S393" s="10" t="s">
        <v>23</v>
      </c>
      <c r="T393" s="10"/>
      <c r="U393" s="10" t="s">
        <v>23</v>
      </c>
    </row>
    <row r="394">
      <c r="A394" s="15" t="str">
        <f>HYPERLINK("https://docs.google.com/spreadsheets/d/1ZajpFwOHrMmupCcACeLhLTzPOwhTrjKRR1FJtUgeLww/edit?usp=sharing","Sunday Burquest")</f>
        <v>Sunday Burquest</v>
      </c>
      <c r="B394" s="13">
        <v>33.0</v>
      </c>
      <c r="C394" s="13">
        <v>10.0</v>
      </c>
      <c r="D394" s="13">
        <v>13.0</v>
      </c>
      <c r="E394" s="16">
        <v>0.77</v>
      </c>
      <c r="F394" s="17">
        <v>0.023</v>
      </c>
      <c r="G394" s="13">
        <v>35.0</v>
      </c>
      <c r="H394" s="13">
        <v>6.0</v>
      </c>
      <c r="I394" s="13" t="s">
        <v>9</v>
      </c>
      <c r="J394" s="13" t="s">
        <v>24</v>
      </c>
      <c r="K394" s="13" t="s">
        <v>44</v>
      </c>
      <c r="L394" s="13">
        <v>9.0</v>
      </c>
      <c r="M394" s="13">
        <v>3.0</v>
      </c>
      <c r="N394" s="13" t="s">
        <v>23</v>
      </c>
      <c r="O394" s="13">
        <v>11.0</v>
      </c>
      <c r="P394" s="13" t="s">
        <v>23</v>
      </c>
      <c r="Q394" s="13" t="s">
        <v>23</v>
      </c>
      <c r="R394" s="13"/>
      <c r="S394" s="13" t="s">
        <v>23</v>
      </c>
      <c r="T394" s="13" t="s">
        <v>23</v>
      </c>
      <c r="U394" s="13" t="s">
        <v>23</v>
      </c>
    </row>
    <row r="395">
      <c r="A395" s="15" t="str">
        <f>HYPERLINK("https://docs.google.com/spreadsheets/d/1ZajpFwOHrMmupCcACeLhLTzPOwhTrjKRR1FJtUgeLww/edit?usp=sharing","Michelle Schubert")</f>
        <v>Michelle Schubert</v>
      </c>
      <c r="B395" s="13">
        <v>33.0</v>
      </c>
      <c r="C395" s="13">
        <v>10.0</v>
      </c>
      <c r="D395" s="13">
        <v>8.0</v>
      </c>
      <c r="E395" s="16">
        <v>1.25</v>
      </c>
      <c r="F395" s="17">
        <v>0.023</v>
      </c>
      <c r="G395" s="13">
        <v>23.0</v>
      </c>
      <c r="H395" s="13">
        <v>3.0</v>
      </c>
      <c r="I395" s="13" t="s">
        <v>9</v>
      </c>
      <c r="J395" s="13" t="s">
        <v>84</v>
      </c>
      <c r="K395" s="13" t="s">
        <v>100</v>
      </c>
      <c r="L395" s="13">
        <v>5.0</v>
      </c>
      <c r="M395" s="13">
        <v>5.0</v>
      </c>
      <c r="N395" s="13" t="s">
        <v>23</v>
      </c>
      <c r="O395" s="13">
        <v>3.0</v>
      </c>
      <c r="P395" s="13" t="s">
        <v>23</v>
      </c>
      <c r="Q395" s="13" t="s">
        <v>23</v>
      </c>
      <c r="R395" s="13"/>
      <c r="S395" s="13" t="s">
        <v>23</v>
      </c>
      <c r="T395" s="13" t="s">
        <v>23</v>
      </c>
      <c r="U395" s="13" t="s">
        <v>23</v>
      </c>
    </row>
    <row r="396">
      <c r="A396" s="9" t="str">
        <f>HYPERLINK("https://docs.google.com/spreadsheets/d/1OvIOVR4AMBMcafVt9o6KEur-eEFhew1kw_KUv3DV3Xs/edit?usp=sharing","Mikayla Wingle")</f>
        <v>Mikayla Wingle</v>
      </c>
      <c r="B396" s="10">
        <v>23.0</v>
      </c>
      <c r="C396" s="10">
        <v>10.0</v>
      </c>
      <c r="D396" s="10">
        <v>7.0</v>
      </c>
      <c r="E396" s="11">
        <v>1.43</v>
      </c>
      <c r="F396" s="12">
        <v>0.0249</v>
      </c>
      <c r="G396" s="10">
        <v>16.0</v>
      </c>
      <c r="H396" s="10">
        <v>2.0</v>
      </c>
      <c r="I396" s="10" t="s">
        <v>42</v>
      </c>
      <c r="J396" s="10" t="s">
        <v>60</v>
      </c>
      <c r="K396" s="10" t="s">
        <v>114</v>
      </c>
      <c r="L396" s="13">
        <v>2.0</v>
      </c>
      <c r="M396" s="13">
        <v>3.0</v>
      </c>
      <c r="N396" s="13" t="s">
        <v>23</v>
      </c>
      <c r="O396" s="13">
        <v>3.0</v>
      </c>
      <c r="P396" s="13" t="s">
        <v>23</v>
      </c>
      <c r="Q396" s="13">
        <v>1.0</v>
      </c>
      <c r="R396" s="13"/>
      <c r="S396" s="10" t="s">
        <v>23</v>
      </c>
      <c r="T396" s="10"/>
      <c r="U396" s="10" t="s">
        <v>23</v>
      </c>
    </row>
    <row r="397">
      <c r="A397" s="9" t="str">
        <f>HYPERLINK("https://docs.google.com/spreadsheets/d/1HA0vQC0CSnQtVc8u58vwNd3sIFCc79SKVqM1abMG1hI/edit?usp=sharing","Joaquin Souberbielle")</f>
        <v>Joaquin Souberbielle</v>
      </c>
      <c r="B397" s="10">
        <v>30.0</v>
      </c>
      <c r="C397" s="10">
        <v>10.0</v>
      </c>
      <c r="D397" s="10">
        <v>6.0</v>
      </c>
      <c r="E397" s="11">
        <v>1.67</v>
      </c>
      <c r="F397" s="12">
        <v>0.0219</v>
      </c>
      <c r="G397" s="10">
        <v>16.0</v>
      </c>
      <c r="H397" s="10" t="s">
        <v>23</v>
      </c>
      <c r="I397" s="10" t="s">
        <v>42</v>
      </c>
      <c r="J397" s="10" t="s">
        <v>60</v>
      </c>
      <c r="K397" s="10" t="s">
        <v>91</v>
      </c>
      <c r="L397" s="13">
        <v>4.0</v>
      </c>
      <c r="M397" s="13">
        <v>4.0</v>
      </c>
      <c r="N397" s="13" t="s">
        <v>23</v>
      </c>
      <c r="O397" s="13">
        <v>2.0</v>
      </c>
      <c r="P397" s="10" t="s">
        <v>23</v>
      </c>
      <c r="Q397" s="10" t="s">
        <v>23</v>
      </c>
      <c r="R397" s="10"/>
      <c r="S397" s="10" t="s">
        <v>23</v>
      </c>
      <c r="T397" s="10"/>
      <c r="U397" s="10" t="s">
        <v>23</v>
      </c>
    </row>
    <row r="398">
      <c r="A398" s="19" t="str">
        <f>HYPERLINK("https://docs.google.com/spreadsheets/d/1TniiK35-AGMNddj9lkge_tT9QfOGXMfX2thnTv8npTo/edit?usp=sharing","Stephanie Dill")</f>
        <v>Stephanie Dill</v>
      </c>
      <c r="B398" s="20">
        <v>5.0</v>
      </c>
      <c r="C398" s="20">
        <v>10.0</v>
      </c>
      <c r="D398" s="20">
        <v>5.0</v>
      </c>
      <c r="E398" s="26">
        <v>2.0</v>
      </c>
      <c r="F398" s="14">
        <v>0.0207</v>
      </c>
      <c r="G398" s="21">
        <v>15.0</v>
      </c>
      <c r="H398" s="21">
        <v>1.0</v>
      </c>
      <c r="I398" s="10" t="s">
        <v>42</v>
      </c>
      <c r="J398" s="20" t="s">
        <v>60</v>
      </c>
      <c r="K398" s="20" t="s">
        <v>106</v>
      </c>
      <c r="L398" s="13">
        <v>3.0</v>
      </c>
      <c r="M398" s="13">
        <v>3.0</v>
      </c>
      <c r="N398" s="13" t="s">
        <v>23</v>
      </c>
      <c r="O398" s="13">
        <v>2.0</v>
      </c>
      <c r="P398" s="10" t="s">
        <v>23</v>
      </c>
      <c r="Q398" s="10" t="s">
        <v>23</v>
      </c>
      <c r="R398" s="10"/>
      <c r="S398" s="10" t="s">
        <v>23</v>
      </c>
      <c r="T398" s="10"/>
      <c r="U398" s="10" t="s">
        <v>23</v>
      </c>
    </row>
    <row r="399">
      <c r="A399" s="9" t="str">
        <f>HYPERLINK("https://docs.google.com/spreadsheets/d/1tPYt5CqjX32YXnh0BRsechvszEP2n4_ePabpiRTSzqE/edit?usp=sharing","Michelle Tesauro")</f>
        <v>Michelle Tesauro</v>
      </c>
      <c r="B399" s="10">
        <v>7.0</v>
      </c>
      <c r="C399" s="10">
        <v>10.0</v>
      </c>
      <c r="D399" s="10">
        <v>5.0</v>
      </c>
      <c r="E399" s="11">
        <v>2.0</v>
      </c>
      <c r="F399" s="12">
        <v>0.02</v>
      </c>
      <c r="G399" s="10">
        <v>16.0</v>
      </c>
      <c r="H399" s="10" t="s">
        <v>23</v>
      </c>
      <c r="I399" s="10" t="s">
        <v>42</v>
      </c>
      <c r="J399" s="10" t="s">
        <v>60</v>
      </c>
      <c r="K399" s="10" t="s">
        <v>137</v>
      </c>
      <c r="L399" s="13">
        <v>3.0</v>
      </c>
      <c r="M399" s="13">
        <v>3.0</v>
      </c>
      <c r="N399" s="13" t="s">
        <v>23</v>
      </c>
      <c r="O399" s="13">
        <v>2.0</v>
      </c>
      <c r="P399" s="10" t="s">
        <v>23</v>
      </c>
      <c r="Q399" s="10" t="s">
        <v>23</v>
      </c>
      <c r="R399" s="10"/>
      <c r="S399" s="10" t="s">
        <v>23</v>
      </c>
      <c r="T399" s="10"/>
      <c r="U399" s="10" t="s">
        <v>23</v>
      </c>
    </row>
    <row r="400">
      <c r="A400" s="9" t="str">
        <f>HYPERLINK("https://docs.google.com/spreadsheets/d/1HA0vQC0CSnQtVc8u58vwNd3sIFCc79SKVqM1abMG1hI/edit?usp=sharing","Max Dawson")</f>
        <v>Max Dawson</v>
      </c>
      <c r="B400" s="10">
        <v>30.0</v>
      </c>
      <c r="C400" s="10">
        <v>10.0</v>
      </c>
      <c r="D400" s="10">
        <v>5.0</v>
      </c>
      <c r="E400" s="11">
        <v>2.0</v>
      </c>
      <c r="F400" s="12">
        <v>0.0219</v>
      </c>
      <c r="G400" s="10">
        <v>14.0</v>
      </c>
      <c r="H400" s="10">
        <v>2.0</v>
      </c>
      <c r="I400" s="10" t="s">
        <v>42</v>
      </c>
      <c r="J400" s="10" t="s">
        <v>60</v>
      </c>
      <c r="K400" s="10" t="s">
        <v>114</v>
      </c>
      <c r="L400" s="13">
        <v>3.0</v>
      </c>
      <c r="M400" s="13">
        <v>3.0</v>
      </c>
      <c r="N400" s="13" t="s">
        <v>23</v>
      </c>
      <c r="O400" s="13">
        <v>2.0</v>
      </c>
      <c r="P400" s="10" t="s">
        <v>23</v>
      </c>
      <c r="Q400" s="10" t="s">
        <v>23</v>
      </c>
      <c r="R400" s="10"/>
      <c r="S400" s="10" t="s">
        <v>23</v>
      </c>
      <c r="T400" s="10"/>
      <c r="U400" s="10" t="s">
        <v>23</v>
      </c>
    </row>
    <row r="401">
      <c r="A401" s="15" t="str">
        <f>HYPERLINK("https://docs.google.com/spreadsheets/d/1t379i2CYDM1ZVdZZy_Nj2m3ht6Sp4J68-xZ2v4-PIMo/edit?usp=sharing","Anna Khait")</f>
        <v>Anna Khait</v>
      </c>
      <c r="B401" s="13">
        <v>32.0</v>
      </c>
      <c r="C401" s="13">
        <v>10.0</v>
      </c>
      <c r="D401" s="13">
        <v>5.0</v>
      </c>
      <c r="E401" s="16">
        <v>2.0</v>
      </c>
      <c r="F401" s="17">
        <v>0.0202</v>
      </c>
      <c r="G401" s="13">
        <v>13.0</v>
      </c>
      <c r="H401" s="13">
        <v>2.0</v>
      </c>
      <c r="I401" s="13" t="s">
        <v>42</v>
      </c>
      <c r="J401" s="13" t="s">
        <v>60</v>
      </c>
      <c r="K401" s="13" t="s">
        <v>91</v>
      </c>
      <c r="L401" s="13">
        <v>4.0</v>
      </c>
      <c r="M401" s="13">
        <v>4.0</v>
      </c>
      <c r="N401" s="13" t="s">
        <v>23</v>
      </c>
      <c r="O401" s="13">
        <v>1.0</v>
      </c>
      <c r="P401" s="13" t="s">
        <v>23</v>
      </c>
      <c r="Q401" s="13" t="s">
        <v>23</v>
      </c>
      <c r="R401" s="13"/>
      <c r="S401" s="13" t="s">
        <v>23</v>
      </c>
      <c r="T401" s="13"/>
      <c r="U401" s="13" t="s">
        <v>23</v>
      </c>
    </row>
    <row r="402">
      <c r="A402" s="15" t="str">
        <f>HYPERLINK("https://docs.google.com/spreadsheets/d/1tElnwN2HVf964gGw8Ei53RyfjarS40wkDY3zivAPWp0/edit?usp=sharing","Malcolm Freberg")</f>
        <v>Malcolm Freberg</v>
      </c>
      <c r="B402" s="13">
        <v>34.0</v>
      </c>
      <c r="C402" s="13">
        <v>10.0</v>
      </c>
      <c r="D402" s="13">
        <v>4.0</v>
      </c>
      <c r="E402" s="16">
        <v>2.5</v>
      </c>
      <c r="F402" s="17">
        <v>0.0243</v>
      </c>
      <c r="G402" s="13">
        <v>11.0</v>
      </c>
      <c r="H402" s="13" t="s">
        <v>23</v>
      </c>
      <c r="I402" s="13" t="s">
        <v>42</v>
      </c>
      <c r="J402" s="13" t="s">
        <v>60</v>
      </c>
      <c r="K402" s="13" t="s">
        <v>96</v>
      </c>
      <c r="L402" s="13">
        <v>2.0</v>
      </c>
      <c r="M402" s="13">
        <v>1.0</v>
      </c>
      <c r="N402" s="13" t="s">
        <v>23</v>
      </c>
      <c r="O402" s="13">
        <v>3.0</v>
      </c>
      <c r="P402" s="13" t="s">
        <v>23</v>
      </c>
      <c r="Q402" s="13" t="s">
        <v>23</v>
      </c>
      <c r="R402" s="13"/>
      <c r="S402" s="13" t="s">
        <v>23</v>
      </c>
      <c r="T402" s="13" t="s">
        <v>23</v>
      </c>
      <c r="U402" s="13" t="s">
        <v>23</v>
      </c>
    </row>
    <row r="403">
      <c r="A403" s="15" t="str">
        <f>HYPERLINK("https://docs.google.com/spreadsheets/d/1d8Hzm_QCJnDef8NF_dVYBZLjLjFI3Fl8Yt14m8Zhn8Y/edit?usp=sharing","Kim Mullen")</f>
        <v>Kim Mullen</v>
      </c>
      <c r="B403" s="13">
        <v>10.0</v>
      </c>
      <c r="C403" s="13">
        <v>10.0</v>
      </c>
      <c r="D403" s="13">
        <v>4.0</v>
      </c>
      <c r="E403" s="16">
        <v>2.5</v>
      </c>
      <c r="F403" s="17">
        <v>0.0234</v>
      </c>
      <c r="G403" s="13">
        <v>11.0</v>
      </c>
      <c r="H403" s="13">
        <v>1.0</v>
      </c>
      <c r="I403" s="13" t="s">
        <v>42</v>
      </c>
      <c r="J403" s="13" t="s">
        <v>60</v>
      </c>
      <c r="K403" s="13" t="s">
        <v>112</v>
      </c>
      <c r="L403" s="13">
        <v>2.0</v>
      </c>
      <c r="M403" s="13" t="s">
        <v>23</v>
      </c>
      <c r="N403" s="13" t="s">
        <v>23</v>
      </c>
      <c r="O403" s="13">
        <v>4.0</v>
      </c>
      <c r="P403" s="13" t="s">
        <v>23</v>
      </c>
      <c r="Q403" s="13" t="s">
        <v>23</v>
      </c>
      <c r="R403" s="13"/>
      <c r="S403" s="13" t="s">
        <v>23</v>
      </c>
      <c r="T403" s="13" t="s">
        <v>23</v>
      </c>
      <c r="U403" s="13" t="s">
        <v>23</v>
      </c>
    </row>
    <row r="404">
      <c r="A404" s="15" t="str">
        <f>HYPERLINK("https://docs.google.com/spreadsheets/d/1yi_HtvN4TS5uRWCCFJg5RFaoouiIIe8CAtY_XnqP6iM/edit?usp=sharing","Brady Finta")</f>
        <v>Brady Finta</v>
      </c>
      <c r="B404" s="13">
        <v>9.0</v>
      </c>
      <c r="C404" s="13">
        <v>10.0</v>
      </c>
      <c r="D404" s="13">
        <v>4.0</v>
      </c>
      <c r="E404" s="16">
        <v>2.5</v>
      </c>
      <c r="F404" s="17">
        <v>0.0239</v>
      </c>
      <c r="G404" s="13">
        <v>10.0</v>
      </c>
      <c r="H404" s="13">
        <v>2.0</v>
      </c>
      <c r="I404" s="13" t="s">
        <v>42</v>
      </c>
      <c r="J404" s="13" t="s">
        <v>60</v>
      </c>
      <c r="K404" s="13" t="s">
        <v>114</v>
      </c>
      <c r="L404" s="13">
        <v>1.0</v>
      </c>
      <c r="M404" s="13">
        <v>1.0</v>
      </c>
      <c r="N404" s="13" t="s">
        <v>23</v>
      </c>
      <c r="O404" s="13">
        <v>3.0</v>
      </c>
      <c r="P404" s="10" t="s">
        <v>23</v>
      </c>
      <c r="Q404" s="10" t="s">
        <v>23</v>
      </c>
      <c r="R404" s="10"/>
      <c r="S404" s="10" t="s">
        <v>23</v>
      </c>
      <c r="T404" s="10"/>
      <c r="U404" s="10" t="s">
        <v>23</v>
      </c>
    </row>
    <row r="405">
      <c r="A405" s="15" t="str">
        <f>HYPERLINK("https://docs.google.com/spreadsheets/d/1q-5bbq9txg93Y0eUACxRPTIN5PuRjeDVpNDfeXEw4iE/edit?usp=sharing","Alan Ball")</f>
        <v>Alan Ball</v>
      </c>
      <c r="B405" s="13">
        <v>35.0</v>
      </c>
      <c r="C405" s="13">
        <v>10.0</v>
      </c>
      <c r="D405" s="13">
        <v>4.0</v>
      </c>
      <c r="E405" s="16">
        <v>2.5</v>
      </c>
      <c r="F405" s="17">
        <v>0.0232</v>
      </c>
      <c r="G405" s="13">
        <v>11.0</v>
      </c>
      <c r="H405" s="13" t="s">
        <v>23</v>
      </c>
      <c r="I405" s="13" t="s">
        <v>42</v>
      </c>
      <c r="J405" s="13" t="s">
        <v>60</v>
      </c>
      <c r="K405" s="13" t="s">
        <v>113</v>
      </c>
      <c r="L405" s="13">
        <v>3.0</v>
      </c>
      <c r="M405" s="13">
        <v>2.0</v>
      </c>
      <c r="N405" s="13" t="s">
        <v>23</v>
      </c>
      <c r="O405" s="13">
        <v>2.0</v>
      </c>
      <c r="P405" s="13" t="s">
        <v>23</v>
      </c>
      <c r="Q405" s="13" t="s">
        <v>23</v>
      </c>
      <c r="R405" s="13"/>
      <c r="S405" s="13" t="s">
        <v>23</v>
      </c>
      <c r="T405" s="13" t="s">
        <v>23</v>
      </c>
      <c r="U405" s="13" t="s">
        <v>23</v>
      </c>
    </row>
    <row r="406">
      <c r="A406" s="15" t="str">
        <f>HYPERLINK("https://docs.google.com/spreadsheets/d/1t379i2CYDM1ZVdZZy_Nj2m3ht6Sp4J68-xZ2v4-PIMo/edit?usp=sharing","Liz Markham")</f>
        <v>Liz Markham</v>
      </c>
      <c r="B406" s="13">
        <v>32.0</v>
      </c>
      <c r="C406" s="13">
        <v>10.0</v>
      </c>
      <c r="D406" s="13">
        <v>3.0</v>
      </c>
      <c r="E406" s="16">
        <v>3.33</v>
      </c>
      <c r="F406" s="17">
        <v>0.0202</v>
      </c>
      <c r="G406" s="13">
        <v>8.0</v>
      </c>
      <c r="H406" s="13" t="s">
        <v>23</v>
      </c>
      <c r="I406" s="13" t="s">
        <v>42</v>
      </c>
      <c r="J406" s="13" t="s">
        <v>60</v>
      </c>
      <c r="K406" s="13" t="s">
        <v>136</v>
      </c>
      <c r="L406" s="13">
        <v>2.0</v>
      </c>
      <c r="M406" s="13">
        <v>2.0</v>
      </c>
      <c r="N406" s="13" t="s">
        <v>23</v>
      </c>
      <c r="O406" s="13">
        <v>1.0</v>
      </c>
      <c r="P406" s="13" t="s">
        <v>23</v>
      </c>
      <c r="Q406" s="13" t="s">
        <v>23</v>
      </c>
      <c r="R406" s="13"/>
      <c r="S406" s="13" t="s">
        <v>23</v>
      </c>
      <c r="T406" s="13"/>
      <c r="U406" s="13" t="s">
        <v>23</v>
      </c>
    </row>
    <row r="407">
      <c r="A407" s="15" t="str">
        <f>HYPERLINK("https://docs.google.com/spreadsheets/d/1d8Hzm_QCJnDef8NF_dVYBZLjLjFI3Fl8Yt14m8Zhn8Y/edit?usp=sharing","Jeff Wilson")</f>
        <v>Jeff Wilson</v>
      </c>
      <c r="B407" s="13">
        <v>10.0</v>
      </c>
      <c r="C407" s="13">
        <v>10.0</v>
      </c>
      <c r="D407" s="13">
        <v>3.0</v>
      </c>
      <c r="E407" s="16">
        <v>3.33</v>
      </c>
      <c r="F407" s="17">
        <v>0.0234</v>
      </c>
      <c r="G407" s="13">
        <v>8.0</v>
      </c>
      <c r="H407" s="13">
        <v>1.0</v>
      </c>
      <c r="I407" s="13" t="s">
        <v>42</v>
      </c>
      <c r="J407" s="13" t="s">
        <v>60</v>
      </c>
      <c r="K407" s="13" t="s">
        <v>103</v>
      </c>
      <c r="L407" s="13">
        <v>2.0</v>
      </c>
      <c r="M407" s="13" t="s">
        <v>23</v>
      </c>
      <c r="N407" s="13" t="s">
        <v>23</v>
      </c>
      <c r="O407" s="13">
        <v>3.0</v>
      </c>
      <c r="P407" s="13" t="s">
        <v>23</v>
      </c>
      <c r="Q407" s="13" t="s">
        <v>23</v>
      </c>
      <c r="R407" s="13"/>
      <c r="S407" s="13" t="s">
        <v>23</v>
      </c>
      <c r="T407" s="13" t="s">
        <v>23</v>
      </c>
      <c r="U407" s="13" t="s">
        <v>23</v>
      </c>
    </row>
    <row r="408">
      <c r="A408" s="9" t="str">
        <f>HYPERLINK("https://docs.google.com/spreadsheets/d/1iNFGyKFcJm-tPp7Dg94yi7mHCDbJssmAD_PiaDM_tAE/edit?usp=sharing","Wes Nale")</f>
        <v>Wes Nale</v>
      </c>
      <c r="B408" s="10">
        <v>29.0</v>
      </c>
      <c r="C408" s="10">
        <v>9.0</v>
      </c>
      <c r="D408" s="10">
        <v>10.0</v>
      </c>
      <c r="E408" s="11">
        <v>0.9</v>
      </c>
      <c r="F408" s="12">
        <v>0.0202</v>
      </c>
      <c r="G408" s="10">
        <v>26.0</v>
      </c>
      <c r="H408" s="10">
        <v>4.0</v>
      </c>
      <c r="I408" s="10" t="s">
        <v>9</v>
      </c>
      <c r="J408" s="10" t="s">
        <v>43</v>
      </c>
      <c r="K408" s="10" t="s">
        <v>83</v>
      </c>
      <c r="L408" s="23">
        <v>4.0</v>
      </c>
      <c r="M408" s="23">
        <v>3.0</v>
      </c>
      <c r="N408" s="23" t="s">
        <v>23</v>
      </c>
      <c r="O408" s="23">
        <v>6.0</v>
      </c>
      <c r="P408" s="23">
        <v>1.0</v>
      </c>
      <c r="Q408" s="23" t="s">
        <v>23</v>
      </c>
      <c r="R408" s="23"/>
      <c r="S408" s="13" t="s">
        <v>23</v>
      </c>
      <c r="T408" s="13"/>
      <c r="U408" s="10" t="s">
        <v>23</v>
      </c>
    </row>
    <row r="409">
      <c r="A409" s="15" t="str">
        <f>HYPERLINK("https://docs.google.com/spreadsheets/d/1tElnwN2HVf964gGw8Ei53RyfjarS40wkDY3zivAPWp0/edit?usp=sharing","Hali Ford")</f>
        <v>Hali Ford</v>
      </c>
      <c r="B409" s="13">
        <v>34.0</v>
      </c>
      <c r="C409" s="13">
        <v>9.0</v>
      </c>
      <c r="D409" s="13">
        <v>8.0</v>
      </c>
      <c r="E409" s="16">
        <v>1.13</v>
      </c>
      <c r="F409" s="17">
        <v>0.0218</v>
      </c>
      <c r="G409" s="13">
        <v>21.0</v>
      </c>
      <c r="H409" s="13">
        <v>3.0</v>
      </c>
      <c r="I409" s="13" t="s">
        <v>9</v>
      </c>
      <c r="J409" s="13" t="s">
        <v>84</v>
      </c>
      <c r="K409" s="13" t="s">
        <v>100</v>
      </c>
      <c r="L409" s="13">
        <v>2.0</v>
      </c>
      <c r="M409" s="13">
        <v>3.0</v>
      </c>
      <c r="N409" s="13" t="s">
        <v>23</v>
      </c>
      <c r="O409" s="13">
        <v>5.0</v>
      </c>
      <c r="P409" s="13" t="s">
        <v>23</v>
      </c>
      <c r="Q409" s="13" t="s">
        <v>23</v>
      </c>
      <c r="R409" s="13"/>
      <c r="S409" s="13" t="s">
        <v>23</v>
      </c>
      <c r="T409" s="13" t="s">
        <v>23</v>
      </c>
      <c r="U409" s="13" t="s">
        <v>23</v>
      </c>
    </row>
    <row r="410">
      <c r="A410" s="9" t="str">
        <f>HYPERLINK("https://docs.google.com/spreadsheets/d/1OvIOVR4AMBMcafVt9o6KEur-eEFhew1kw_KUv3DV3Xs/edit?usp=sharing","Stacey Powell")</f>
        <v>Stacey Powell</v>
      </c>
      <c r="B410" s="10">
        <v>23.0</v>
      </c>
      <c r="C410" s="10">
        <v>9.0</v>
      </c>
      <c r="D410" s="10">
        <v>5.0</v>
      </c>
      <c r="E410" s="11">
        <v>1.8</v>
      </c>
      <c r="F410" s="12">
        <v>0.0224</v>
      </c>
      <c r="G410" s="10">
        <v>12.0</v>
      </c>
      <c r="H410" s="10">
        <v>2.0</v>
      </c>
      <c r="I410" s="10" t="s">
        <v>42</v>
      </c>
      <c r="J410" s="10" t="s">
        <v>60</v>
      </c>
      <c r="K410" s="10" t="s">
        <v>136</v>
      </c>
      <c r="L410" s="13">
        <v>1.0</v>
      </c>
      <c r="M410" s="13">
        <v>2.0</v>
      </c>
      <c r="N410" s="13" t="s">
        <v>23</v>
      </c>
      <c r="O410" s="13">
        <v>2.0</v>
      </c>
      <c r="P410" s="13" t="s">
        <v>23</v>
      </c>
      <c r="Q410" s="13">
        <v>1.0</v>
      </c>
      <c r="R410" s="13"/>
      <c r="S410" s="10" t="s">
        <v>23</v>
      </c>
      <c r="T410" s="10"/>
      <c r="U410" s="10" t="s">
        <v>23</v>
      </c>
    </row>
    <row r="411">
      <c r="A411" s="9" t="str">
        <f>HYPERLINK("https://docs.google.com/spreadsheets/d/1y7awzkkkaNlh7XKjc44AGriTvqB9H3pVz8cFLyIYdbo/edit?usp=sharing","Cliff Robinson")</f>
        <v>Cliff Robinson</v>
      </c>
      <c r="B411" s="10">
        <v>28.0</v>
      </c>
      <c r="C411" s="10">
        <v>9.0</v>
      </c>
      <c r="D411" s="10">
        <v>5.0</v>
      </c>
      <c r="E411" s="11">
        <v>1.8</v>
      </c>
      <c r="F411" s="12">
        <v>0.0196</v>
      </c>
      <c r="G411" s="10">
        <v>14.0</v>
      </c>
      <c r="H411" s="10">
        <v>1.0</v>
      </c>
      <c r="I411" s="10" t="s">
        <v>42</v>
      </c>
      <c r="J411" s="10" t="s">
        <v>60</v>
      </c>
      <c r="K411" s="10" t="s">
        <v>114</v>
      </c>
      <c r="L411" s="13">
        <v>5.0</v>
      </c>
      <c r="M411" s="13">
        <v>4.0</v>
      </c>
      <c r="N411" s="13" t="s">
        <v>23</v>
      </c>
      <c r="O411" s="13">
        <v>1.0</v>
      </c>
      <c r="P411" s="10" t="s">
        <v>23</v>
      </c>
      <c r="Q411" s="10" t="s">
        <v>23</v>
      </c>
      <c r="R411" s="10"/>
      <c r="S411" s="10" t="s">
        <v>23</v>
      </c>
      <c r="T411" s="10"/>
      <c r="U411" s="10" t="s">
        <v>23</v>
      </c>
    </row>
    <row r="412">
      <c r="A412" s="9" t="str">
        <f>HYPERLINK("https://docs.google.com/spreadsheets/d/1EZNO7rY3X3GsqJDX9iY8RpZJJDJ-K4nm_Mxm1g397N0/edit?usp=sharing","Linda Spencer")</f>
        <v>Linda Spencer</v>
      </c>
      <c r="B412" s="10">
        <v>3.0</v>
      </c>
      <c r="C412" s="10">
        <v>9.0</v>
      </c>
      <c r="D412" s="10">
        <v>4.0</v>
      </c>
      <c r="E412" s="11">
        <v>2.25</v>
      </c>
      <c r="F412" s="12">
        <v>0.018</v>
      </c>
      <c r="G412" s="10">
        <v>12.0</v>
      </c>
      <c r="H412" s="10">
        <v>1.0</v>
      </c>
      <c r="I412" s="10" t="s">
        <v>42</v>
      </c>
      <c r="J412" s="10" t="s">
        <v>60</v>
      </c>
      <c r="K412" s="10" t="s">
        <v>107</v>
      </c>
      <c r="L412" s="13">
        <v>3.0</v>
      </c>
      <c r="M412" s="13">
        <v>2.0</v>
      </c>
      <c r="N412" s="13" t="s">
        <v>23</v>
      </c>
      <c r="O412" s="13">
        <v>2.0</v>
      </c>
      <c r="P412" s="10" t="s">
        <v>23</v>
      </c>
      <c r="Q412" s="10" t="s">
        <v>23</v>
      </c>
      <c r="R412" s="10"/>
      <c r="S412" s="10" t="s">
        <v>23</v>
      </c>
      <c r="T412" s="10"/>
      <c r="U412" s="10" t="s">
        <v>23</v>
      </c>
    </row>
    <row r="413">
      <c r="A413" s="9" t="str">
        <f>HYPERLINK("https://docs.google.com/spreadsheets/d/14eN4V4imd53x81UQVckjyAx_2xIFGXJ8NE4XmE1oDkg/edit?usp=sharing","Stacey Stillman")</f>
        <v>Stacey Stillman</v>
      </c>
      <c r="B413" s="10">
        <v>1.0</v>
      </c>
      <c r="C413" s="10">
        <v>9.0</v>
      </c>
      <c r="D413" s="10">
        <v>3.0</v>
      </c>
      <c r="E413" s="11">
        <v>3.0</v>
      </c>
      <c r="F413" s="14">
        <v>0.0137</v>
      </c>
      <c r="G413" s="10">
        <v>9.0</v>
      </c>
      <c r="H413" s="10" t="s">
        <v>23</v>
      </c>
      <c r="I413" s="10" t="s">
        <v>42</v>
      </c>
      <c r="J413" s="10" t="s">
        <v>60</v>
      </c>
      <c r="K413" s="10" t="s">
        <v>137</v>
      </c>
      <c r="L413" s="13">
        <v>1.0</v>
      </c>
      <c r="M413" s="13">
        <v>1.0</v>
      </c>
      <c r="N413" s="13" t="s">
        <v>23</v>
      </c>
      <c r="O413" s="13">
        <v>2.0</v>
      </c>
      <c r="P413" s="10" t="s">
        <v>23</v>
      </c>
      <c r="Q413" s="10" t="s">
        <v>23</v>
      </c>
      <c r="R413" s="10"/>
      <c r="S413" s="10" t="s">
        <v>23</v>
      </c>
      <c r="T413" s="10"/>
      <c r="U413" s="10" t="s">
        <v>23</v>
      </c>
    </row>
    <row r="414">
      <c r="A414" s="9" t="str">
        <f>HYPERLINK("https://docs.google.com/spreadsheets/d/1EZNO7rY3X3GsqJDX9iY8RpZJJDJ-K4nm_Mxm1g397N0/edit?usp=sharing","Carl Bilancione")</f>
        <v>Carl Bilancione</v>
      </c>
      <c r="B414" s="10">
        <v>3.0</v>
      </c>
      <c r="C414" s="10">
        <v>9.0</v>
      </c>
      <c r="D414" s="10">
        <v>3.0</v>
      </c>
      <c r="E414" s="11">
        <v>3.0</v>
      </c>
      <c r="F414" s="12">
        <v>0.018</v>
      </c>
      <c r="G414" s="10">
        <v>9.0</v>
      </c>
      <c r="H414" s="10">
        <v>1.0</v>
      </c>
      <c r="I414" s="10" t="s">
        <v>42</v>
      </c>
      <c r="J414" s="10" t="s">
        <v>60</v>
      </c>
      <c r="K414" s="10" t="s">
        <v>137</v>
      </c>
      <c r="L414" s="13">
        <v>2.0</v>
      </c>
      <c r="M414" s="13">
        <v>2.0</v>
      </c>
      <c r="N414" s="13" t="s">
        <v>23</v>
      </c>
      <c r="O414" s="13">
        <v>1.0</v>
      </c>
      <c r="P414" s="10" t="s">
        <v>23</v>
      </c>
      <c r="Q414" s="10" t="s">
        <v>23</v>
      </c>
      <c r="R414" s="10"/>
      <c r="S414" s="10" t="s">
        <v>23</v>
      </c>
      <c r="T414" s="10"/>
      <c r="U414" s="10" t="s">
        <v>23</v>
      </c>
    </row>
    <row r="415">
      <c r="A415" s="9" t="str">
        <f>HYPERLINK("https://docs.google.com/spreadsheets/d/1ReMaq-fM8zzflOjjrMrgnxEsdZxPIPIJqiZ9cCLO3cE/edit?usp=sharing","Angie Layton")</f>
        <v>Angie Layton</v>
      </c>
      <c r="B415" s="10">
        <v>25.0</v>
      </c>
      <c r="C415" s="10">
        <v>9.0</v>
      </c>
      <c r="D415" s="10">
        <v>3.0</v>
      </c>
      <c r="E415" s="11">
        <v>3.0</v>
      </c>
      <c r="F415" s="12">
        <v>0.0207</v>
      </c>
      <c r="G415" s="10">
        <v>8.0</v>
      </c>
      <c r="H415" s="10" t="s">
        <v>23</v>
      </c>
      <c r="I415" s="10" t="s">
        <v>42</v>
      </c>
      <c r="J415" s="10" t="s">
        <v>60</v>
      </c>
      <c r="K415" s="10" t="s">
        <v>136</v>
      </c>
      <c r="L415" s="13" t="s">
        <v>23</v>
      </c>
      <c r="M415" s="13" t="s">
        <v>23</v>
      </c>
      <c r="N415" s="13" t="s">
        <v>23</v>
      </c>
      <c r="O415" s="13">
        <v>3.0</v>
      </c>
      <c r="P415" s="10" t="s">
        <v>23</v>
      </c>
      <c r="Q415" s="10" t="s">
        <v>23</v>
      </c>
      <c r="R415" s="10"/>
      <c r="S415" s="10" t="s">
        <v>23</v>
      </c>
      <c r="T415" s="10"/>
      <c r="U415" s="10" t="s">
        <v>23</v>
      </c>
    </row>
    <row r="416">
      <c r="A416" s="9" t="str">
        <f>HYPERLINK("https://docs.google.com/spreadsheets/d/1EsGJrNyA7pLwFUlZ6WfOkbnPz58Cle9N9c6epQSDRVA/edit?usp=sharing","Shirin Oskooi")</f>
        <v>Shirin Oskooi</v>
      </c>
      <c r="B416" s="10">
        <v>31.0</v>
      </c>
      <c r="C416" s="10">
        <v>9.0</v>
      </c>
      <c r="D416" s="10">
        <v>2.0</v>
      </c>
      <c r="E416" s="11">
        <v>4.5</v>
      </c>
      <c r="F416" s="12">
        <v>0.0205</v>
      </c>
      <c r="G416" s="10">
        <v>6.0</v>
      </c>
      <c r="H416" s="10" t="s">
        <v>23</v>
      </c>
      <c r="I416" s="10" t="s">
        <v>42</v>
      </c>
      <c r="J416" s="10" t="s">
        <v>60</v>
      </c>
      <c r="K416" s="10" t="s">
        <v>131</v>
      </c>
      <c r="L416" s="13">
        <v>1.0</v>
      </c>
      <c r="M416" s="13" t="s">
        <v>23</v>
      </c>
      <c r="N416" s="13" t="s">
        <v>23</v>
      </c>
      <c r="O416" s="13">
        <v>2.0</v>
      </c>
      <c r="P416" s="10" t="s">
        <v>23</v>
      </c>
      <c r="Q416" s="10" t="s">
        <v>23</v>
      </c>
      <c r="R416" s="10"/>
      <c r="S416" s="10" t="s">
        <v>23</v>
      </c>
      <c r="T416" s="10"/>
      <c r="U416" s="10" t="s">
        <v>23</v>
      </c>
    </row>
    <row r="417">
      <c r="A417" s="9" t="str">
        <f>HYPERLINK("https://docs.google.com/spreadsheets/d/1nYlVL4RxK2ZUH-a4MfKCalHyEjDRWz2ZumhyoaYsjTE/edit?usp=sharing","Shannon Elkins")</f>
        <v>Shannon Elkins</v>
      </c>
      <c r="B417" s="10">
        <v>21.0</v>
      </c>
      <c r="C417" s="10">
        <v>9.0</v>
      </c>
      <c r="D417" s="10">
        <v>2.0</v>
      </c>
      <c r="E417" s="11">
        <v>4.5</v>
      </c>
      <c r="F417" s="12">
        <v>0.0216</v>
      </c>
      <c r="G417" s="10">
        <v>6.0</v>
      </c>
      <c r="H417" s="10" t="s">
        <v>23</v>
      </c>
      <c r="I417" s="10" t="s">
        <v>42</v>
      </c>
      <c r="J417" s="10" t="s">
        <v>60</v>
      </c>
      <c r="K417" s="10" t="s">
        <v>131</v>
      </c>
      <c r="L417" s="13">
        <v>1.0</v>
      </c>
      <c r="M417" s="13">
        <v>1.0</v>
      </c>
      <c r="N417" s="13" t="s">
        <v>23</v>
      </c>
      <c r="O417" s="13">
        <v>1.0</v>
      </c>
      <c r="P417" s="10" t="s">
        <v>23</v>
      </c>
      <c r="Q417" s="10" t="s">
        <v>23</v>
      </c>
      <c r="R417" s="10"/>
      <c r="S417" s="10" t="s">
        <v>23</v>
      </c>
      <c r="T417" s="10"/>
      <c r="U417" s="10" t="s">
        <v>23</v>
      </c>
    </row>
    <row r="418">
      <c r="A418" s="9" t="str">
        <f>HYPERLINK("https://docs.google.com/spreadsheets/d/1ReMaq-fM8zzflOjjrMrgnxEsdZxPIPIJqiZ9cCLO3cE/edit?usp=sharing","Zane Knight")</f>
        <v>Zane Knight</v>
      </c>
      <c r="B418" s="10">
        <v>25.0</v>
      </c>
      <c r="C418" s="10">
        <v>9.0</v>
      </c>
      <c r="D418" s="10">
        <v>1.0</v>
      </c>
      <c r="E418" s="11">
        <v>9.0</v>
      </c>
      <c r="F418" s="12">
        <v>0.0207</v>
      </c>
      <c r="G418" s="10">
        <v>3.0</v>
      </c>
      <c r="H418" s="10" t="s">
        <v>23</v>
      </c>
      <c r="I418" s="10" t="s">
        <v>42</v>
      </c>
      <c r="J418" s="10" t="s">
        <v>60</v>
      </c>
      <c r="K418" s="10" t="s">
        <v>138</v>
      </c>
      <c r="L418" s="13" t="s">
        <v>23</v>
      </c>
      <c r="M418" s="13" t="s">
        <v>23</v>
      </c>
      <c r="N418" s="13" t="s">
        <v>23</v>
      </c>
      <c r="O418" s="13">
        <v>1.0</v>
      </c>
      <c r="P418" s="10" t="s">
        <v>23</v>
      </c>
      <c r="Q418" s="10" t="s">
        <v>23</v>
      </c>
      <c r="R418" s="10"/>
      <c r="S418" s="10" t="s">
        <v>23</v>
      </c>
      <c r="T418" s="10"/>
      <c r="U418" s="10" t="s">
        <v>23</v>
      </c>
    </row>
    <row r="419">
      <c r="A419" s="9" t="str">
        <f>HYPERLINK("https://docs.google.com/spreadsheets/d/1LR80O0PvsOvoTuN5gHQd3Rls4b1rZmJd7EZ_DR2oRHs/edit?usp=sharing","Francesca Hogi")</f>
        <v>Francesca Hogi</v>
      </c>
      <c r="B419" s="10">
        <v>26.0</v>
      </c>
      <c r="C419" s="10">
        <v>9.0</v>
      </c>
      <c r="D419" s="10">
        <v>1.0</v>
      </c>
      <c r="E419" s="11">
        <v>9.0</v>
      </c>
      <c r="F419" s="12">
        <v>0.0218</v>
      </c>
      <c r="G419" s="10">
        <v>3.0</v>
      </c>
      <c r="H419" s="10" t="s">
        <v>23</v>
      </c>
      <c r="I419" s="10" t="s">
        <v>42</v>
      </c>
      <c r="J419" s="10" t="s">
        <v>60</v>
      </c>
      <c r="K419" s="10" t="s">
        <v>110</v>
      </c>
      <c r="L419" s="13">
        <v>1.0</v>
      </c>
      <c r="M419" s="13" t="s">
        <v>23</v>
      </c>
      <c r="N419" s="13" t="s">
        <v>23</v>
      </c>
      <c r="O419" s="13">
        <v>1.0</v>
      </c>
      <c r="P419" s="10" t="s">
        <v>23</v>
      </c>
      <c r="Q419" s="10" t="s">
        <v>23</v>
      </c>
      <c r="R419" s="10"/>
      <c r="S419" s="10" t="s">
        <v>23</v>
      </c>
      <c r="T419" s="10"/>
      <c r="U419" s="10" t="s">
        <v>23</v>
      </c>
    </row>
    <row r="420">
      <c r="A420" s="9" t="str">
        <f>HYPERLINK("https://docs.google.com/spreadsheets/d/1OvIOVR4AMBMcafVt9o6KEur-eEFhew1kw_KUv3DV3Xs/edit?usp=sharing","Rick Nelson")</f>
        <v>Rick Nelson</v>
      </c>
      <c r="B420" s="10">
        <v>23.0</v>
      </c>
      <c r="C420" s="10">
        <v>8.0</v>
      </c>
      <c r="D420" s="10">
        <v>14.0</v>
      </c>
      <c r="E420" s="11">
        <v>0.57</v>
      </c>
      <c r="F420" s="12">
        <v>0.02</v>
      </c>
      <c r="G420" s="10">
        <v>37.0</v>
      </c>
      <c r="H420" s="10">
        <v>9.0</v>
      </c>
      <c r="I420" s="10" t="s">
        <v>9</v>
      </c>
      <c r="J420" s="10" t="s">
        <v>40</v>
      </c>
      <c r="K420" s="10" t="s">
        <v>70</v>
      </c>
      <c r="L420" s="13">
        <v>5.0</v>
      </c>
      <c r="M420" s="13">
        <v>4.0</v>
      </c>
      <c r="N420" s="13" t="s">
        <v>23</v>
      </c>
      <c r="O420" s="13">
        <v>12.0</v>
      </c>
      <c r="P420" s="13" t="s">
        <v>23</v>
      </c>
      <c r="Q420" s="13" t="s">
        <v>23</v>
      </c>
      <c r="R420" s="13"/>
      <c r="S420" s="10" t="s">
        <v>23</v>
      </c>
      <c r="T420" s="10"/>
      <c r="U420" s="10" t="s">
        <v>23</v>
      </c>
    </row>
    <row r="421">
      <c r="A421" s="9" t="str">
        <f>HYPERLINK("https://docs.google.com/spreadsheets/d/1ReMaq-fM8zzflOjjrMrgnxEsdZxPIPIJqiZ9cCLO3cE/edit?usp=sharing","Carter Williams")</f>
        <v>Carter Williams</v>
      </c>
      <c r="B421" s="10">
        <v>25.0</v>
      </c>
      <c r="C421" s="10">
        <v>8.0</v>
      </c>
      <c r="D421" s="10">
        <v>12.0</v>
      </c>
      <c r="E421" s="11">
        <v>0.67</v>
      </c>
      <c r="F421" s="12">
        <v>0.0184</v>
      </c>
      <c r="G421" s="10">
        <v>33.0</v>
      </c>
      <c r="H421" s="10">
        <v>8.0</v>
      </c>
      <c r="I421" s="10" t="s">
        <v>9</v>
      </c>
      <c r="J421" s="10" t="s">
        <v>37</v>
      </c>
      <c r="K421" s="10" t="s">
        <v>56</v>
      </c>
      <c r="L421" s="13">
        <v>9.0</v>
      </c>
      <c r="M421" s="13">
        <v>4.0</v>
      </c>
      <c r="N421" s="13">
        <v>2.0</v>
      </c>
      <c r="O421" s="13">
        <v>8.0</v>
      </c>
      <c r="P421" s="10" t="s">
        <v>23</v>
      </c>
      <c r="Q421" s="10" t="s">
        <v>23</v>
      </c>
      <c r="R421" s="10"/>
      <c r="S421" s="10" t="s">
        <v>23</v>
      </c>
      <c r="T421" s="10"/>
      <c r="U421" s="10" t="s">
        <v>23</v>
      </c>
    </row>
    <row r="422">
      <c r="A422" s="15" t="str">
        <f>HYPERLINK("https://docs.google.com/spreadsheets/d/1tElnwN2HVf964gGw8Ei53RyfjarS40wkDY3zivAPWp0/edit?usp=sharing","Ozzy Lusth")</f>
        <v>Ozzy Lusth</v>
      </c>
      <c r="B422" s="13">
        <v>34.0</v>
      </c>
      <c r="C422" s="13">
        <v>8.0</v>
      </c>
      <c r="D422" s="13">
        <v>9.0</v>
      </c>
      <c r="E422" s="16">
        <v>0.89</v>
      </c>
      <c r="F422" s="17">
        <v>0.0194</v>
      </c>
      <c r="G422" s="13">
        <v>24.0</v>
      </c>
      <c r="H422" s="13">
        <v>3.0</v>
      </c>
      <c r="I422" s="13" t="s">
        <v>9</v>
      </c>
      <c r="J422" s="13" t="s">
        <v>48</v>
      </c>
      <c r="K422" s="13" t="s">
        <v>82</v>
      </c>
      <c r="L422" s="13">
        <v>7.0</v>
      </c>
      <c r="M422" s="13">
        <v>5.0</v>
      </c>
      <c r="N422" s="13" t="s">
        <v>23</v>
      </c>
      <c r="O422" s="13">
        <v>4.0</v>
      </c>
      <c r="P422" s="13" t="s">
        <v>23</v>
      </c>
      <c r="Q422" s="13" t="s">
        <v>23</v>
      </c>
      <c r="R422" s="13"/>
      <c r="S422" s="13" t="s">
        <v>23</v>
      </c>
      <c r="T422" s="13" t="s">
        <v>23</v>
      </c>
      <c r="U422" s="13" t="s">
        <v>23</v>
      </c>
    </row>
    <row r="423">
      <c r="A423" s="9" t="str">
        <f>HYPERLINK("https://docs.google.com/spreadsheets/d/1ReMaq-fM8zzflOjjrMrgnxEsdZxPIPIJqiZ9cCLO3cE/edit?usp=sharing","Artis Silvester")</f>
        <v>Artis Silvester</v>
      </c>
      <c r="B423" s="10">
        <v>25.0</v>
      </c>
      <c r="C423" s="10">
        <v>8.0</v>
      </c>
      <c r="D423" s="10">
        <v>9.0</v>
      </c>
      <c r="E423" s="11">
        <v>0.89</v>
      </c>
      <c r="F423" s="12">
        <v>0.0184</v>
      </c>
      <c r="G423" s="10">
        <v>25.0</v>
      </c>
      <c r="H423" s="10">
        <v>4.0</v>
      </c>
      <c r="I423" s="10" t="s">
        <v>9</v>
      </c>
      <c r="J423" s="10" t="s">
        <v>43</v>
      </c>
      <c r="K423" s="10" t="s">
        <v>83</v>
      </c>
      <c r="L423" s="13">
        <v>6.0</v>
      </c>
      <c r="M423" s="13">
        <v>6.0</v>
      </c>
      <c r="N423" s="13" t="s">
        <v>23</v>
      </c>
      <c r="O423" s="13">
        <v>3.0</v>
      </c>
      <c r="P423" s="10" t="s">
        <v>23</v>
      </c>
      <c r="Q423" s="10" t="s">
        <v>23</v>
      </c>
      <c r="R423" s="10"/>
      <c r="S423" s="10" t="s">
        <v>23</v>
      </c>
      <c r="T423" s="10"/>
      <c r="U423" s="10" t="s">
        <v>23</v>
      </c>
    </row>
    <row r="424">
      <c r="A424" s="15" t="str">
        <f>HYPERLINK("https://docs.google.com/spreadsheets/d/1q-5bbq9txg93Y0eUACxRPTIN5PuRjeDVpNDfeXEw4iE/edit?usp=sharing","Desiree ""Desi"" Williams")</f>
        <v>Desiree "Desi" Williams</v>
      </c>
      <c r="B424" s="13">
        <v>35.0</v>
      </c>
      <c r="C424" s="13">
        <v>8.0</v>
      </c>
      <c r="D424" s="13">
        <v>8.0</v>
      </c>
      <c r="E424" s="16">
        <v>1.0</v>
      </c>
      <c r="F424" s="17">
        <v>0.0186</v>
      </c>
      <c r="G424" s="13">
        <v>21.0</v>
      </c>
      <c r="H424" s="13">
        <v>2.0</v>
      </c>
      <c r="I424" s="13" t="s">
        <v>9</v>
      </c>
      <c r="J424" s="13" t="s">
        <v>84</v>
      </c>
      <c r="K424" s="13" t="s">
        <v>85</v>
      </c>
      <c r="L424" s="13">
        <v>5.0</v>
      </c>
      <c r="M424" s="13">
        <v>5.0</v>
      </c>
      <c r="N424" s="13">
        <v>1.0</v>
      </c>
      <c r="O424" s="13">
        <v>3.0</v>
      </c>
      <c r="P424" s="13" t="s">
        <v>23</v>
      </c>
      <c r="Q424" s="13" t="s">
        <v>23</v>
      </c>
      <c r="R424" s="13"/>
      <c r="S424" s="13" t="s">
        <v>23</v>
      </c>
      <c r="T424" s="13" t="s">
        <v>23</v>
      </c>
      <c r="U424" s="13" t="s">
        <v>23</v>
      </c>
    </row>
    <row r="425">
      <c r="A425" s="9" t="str">
        <f>HYPERLINK("https://docs.google.com/spreadsheets/d/1nYlVL4RxK2ZUH-a4MfKCalHyEjDRWz2ZumhyoaYsjTE/edit?usp=sharing","Tyrone Davis")</f>
        <v>Tyrone Davis</v>
      </c>
      <c r="B425" s="10">
        <v>21.0</v>
      </c>
      <c r="C425" s="10">
        <v>8.0</v>
      </c>
      <c r="D425" s="10">
        <v>5.0</v>
      </c>
      <c r="E425" s="11">
        <v>1.6</v>
      </c>
      <c r="F425" s="12">
        <v>0.0192</v>
      </c>
      <c r="G425" s="10">
        <v>14.0</v>
      </c>
      <c r="H425" s="10">
        <v>1.0</v>
      </c>
      <c r="I425" s="10" t="s">
        <v>42</v>
      </c>
      <c r="J425" s="10" t="s">
        <v>60</v>
      </c>
      <c r="K425" s="10" t="s">
        <v>103</v>
      </c>
      <c r="L425" s="13">
        <v>2.0</v>
      </c>
      <c r="M425" s="13">
        <v>1.0</v>
      </c>
      <c r="N425" s="13" t="s">
        <v>23</v>
      </c>
      <c r="O425" s="13">
        <v>4.0</v>
      </c>
      <c r="P425" s="10" t="s">
        <v>23</v>
      </c>
      <c r="Q425" s="10" t="s">
        <v>23</v>
      </c>
      <c r="R425" s="10"/>
      <c r="S425" s="10" t="s">
        <v>23</v>
      </c>
      <c r="T425" s="10"/>
      <c r="U425" s="10" t="s">
        <v>23</v>
      </c>
    </row>
    <row r="426">
      <c r="A426" s="9" t="str">
        <f>HYPERLINK("https://docs.google.com/spreadsheets/d/1X-5lK1sJCBpvE08rC1VdSsGvayqyrC62cK7W45Q4XX8/edit?usp=sharing","Candice Cody")</f>
        <v>Candice Cody</v>
      </c>
      <c r="B426" s="10">
        <v>27.0</v>
      </c>
      <c r="C426" s="10">
        <v>8.0</v>
      </c>
      <c r="D426" s="10">
        <v>5.0</v>
      </c>
      <c r="E426" s="11">
        <v>1.6</v>
      </c>
      <c r="F426" s="12">
        <v>0.0185</v>
      </c>
      <c r="G426" s="10">
        <v>11.0</v>
      </c>
      <c r="H426" s="10">
        <v>2.0</v>
      </c>
      <c r="I426" s="10" t="s">
        <v>42</v>
      </c>
      <c r="J426" s="10" t="s">
        <v>60</v>
      </c>
      <c r="K426" s="10" t="s">
        <v>103</v>
      </c>
      <c r="L426" s="13" t="s">
        <v>23</v>
      </c>
      <c r="M426" s="13" t="s">
        <v>23</v>
      </c>
      <c r="N426" s="13" t="s">
        <v>23</v>
      </c>
      <c r="O426" s="13" t="s">
        <v>23</v>
      </c>
      <c r="P426" s="13" t="s">
        <v>23</v>
      </c>
      <c r="Q426" s="13">
        <v>1.0</v>
      </c>
      <c r="R426" s="13"/>
      <c r="S426" s="10" t="s">
        <v>23</v>
      </c>
      <c r="T426" s="10"/>
      <c r="U426" s="10" t="s">
        <v>23</v>
      </c>
    </row>
    <row r="427">
      <c r="A427" s="15" t="str">
        <f>HYPERLINK("https://docs.google.com/spreadsheets/d/1ZajpFwOHrMmupCcACeLhLTzPOwhTrjKRR1FJtUgeLww/edit?usp=sharing","Paul Wachter")</f>
        <v>Paul Wachter</v>
      </c>
      <c r="B427" s="13">
        <v>33.0</v>
      </c>
      <c r="C427" s="13">
        <v>8.0</v>
      </c>
      <c r="D427" s="13">
        <v>3.0</v>
      </c>
      <c r="E427" s="16">
        <v>2.67</v>
      </c>
      <c r="F427" s="17">
        <v>0.0184</v>
      </c>
      <c r="G427" s="13">
        <v>10.0</v>
      </c>
      <c r="H427" s="13" t="s">
        <v>23</v>
      </c>
      <c r="I427" s="13" t="s">
        <v>42</v>
      </c>
      <c r="J427" s="13" t="s">
        <v>60</v>
      </c>
      <c r="K427" s="13" t="s">
        <v>124</v>
      </c>
      <c r="L427" s="13">
        <v>1.0</v>
      </c>
      <c r="M427" s="13">
        <v>1.0</v>
      </c>
      <c r="N427" s="13" t="s">
        <v>23</v>
      </c>
      <c r="O427" s="13">
        <v>2.0</v>
      </c>
      <c r="P427" s="13" t="s">
        <v>23</v>
      </c>
      <c r="Q427" s="13" t="s">
        <v>23</v>
      </c>
      <c r="R427" s="13"/>
      <c r="S427" s="13" t="s">
        <v>23</v>
      </c>
      <c r="T427" s="13" t="s">
        <v>23</v>
      </c>
      <c r="U427" s="13" t="s">
        <v>23</v>
      </c>
    </row>
    <row r="428">
      <c r="A428" s="9" t="str">
        <f>HYPERLINK("https://docs.google.com/spreadsheets/d/1yi_HtvN4TS5uRWCCFJg5RFaoouiIIe8CAtY_XnqP6iM/edit?usp=sharing","Mia Galeotalanza")</f>
        <v>Mia Galeotalanza</v>
      </c>
      <c r="B428" s="10">
        <v>9.0</v>
      </c>
      <c r="C428" s="10">
        <v>8.0</v>
      </c>
      <c r="D428" s="10">
        <v>3.0</v>
      </c>
      <c r="E428" s="11">
        <v>2.67</v>
      </c>
      <c r="F428" s="17">
        <v>0.0191</v>
      </c>
      <c r="G428" s="10">
        <v>7.0</v>
      </c>
      <c r="H428" s="10" t="s">
        <v>23</v>
      </c>
      <c r="I428" s="10" t="s">
        <v>42</v>
      </c>
      <c r="J428" s="10" t="s">
        <v>60</v>
      </c>
      <c r="K428" s="10" t="s">
        <v>113</v>
      </c>
      <c r="L428" s="10">
        <v>2.0</v>
      </c>
      <c r="M428" s="10">
        <v>1.0</v>
      </c>
      <c r="N428" s="27"/>
      <c r="O428" s="10">
        <v>2.0</v>
      </c>
      <c r="P428" s="10" t="s">
        <v>23</v>
      </c>
      <c r="Q428" s="10" t="s">
        <v>23</v>
      </c>
      <c r="R428" s="10"/>
      <c r="S428" s="10" t="s">
        <v>23</v>
      </c>
      <c r="T428" s="10"/>
      <c r="U428" s="10" t="s">
        <v>23</v>
      </c>
    </row>
    <row r="429">
      <c r="A429" s="9" t="str">
        <f>HYPERLINK("https://docs.google.com/spreadsheets/d/1v6gXy2rHfH0CkzT8zUZyZm6b-WimbnBspkh1B5hksu4/edit?usp=sharing","Matt Quinlan")</f>
        <v>Matt Quinlan</v>
      </c>
      <c r="B429" s="10">
        <v>24.0</v>
      </c>
      <c r="C429" s="10">
        <v>8.0</v>
      </c>
      <c r="D429" s="10">
        <v>3.0</v>
      </c>
      <c r="E429" s="11">
        <v>2.67</v>
      </c>
      <c r="F429" s="12">
        <v>0.0209</v>
      </c>
      <c r="G429" s="10">
        <v>8.0</v>
      </c>
      <c r="H429" s="10">
        <v>1.0</v>
      </c>
      <c r="I429" s="10" t="s">
        <v>42</v>
      </c>
      <c r="J429" s="10" t="s">
        <v>60</v>
      </c>
      <c r="K429" s="10" t="s">
        <v>136</v>
      </c>
      <c r="L429" s="13">
        <v>2.0</v>
      </c>
      <c r="M429" s="13">
        <v>2.0</v>
      </c>
      <c r="N429" s="13" t="s">
        <v>23</v>
      </c>
      <c r="O429" s="13">
        <v>1.0</v>
      </c>
      <c r="P429" s="10" t="s">
        <v>23</v>
      </c>
      <c r="Q429" s="10" t="s">
        <v>23</v>
      </c>
      <c r="R429" s="10"/>
      <c r="S429" s="10" t="s">
        <v>23</v>
      </c>
      <c r="T429" s="10"/>
      <c r="U429" s="10" t="s">
        <v>23</v>
      </c>
    </row>
    <row r="430">
      <c r="A430" s="15" t="str">
        <f>HYPERLINK("https://docs.google.com/spreadsheets/d/1t379i2CYDM1ZVdZZy_Nj2m3ht6Sp4J68-xZ2v4-PIMo/edit?usp=sharing","Jennifer Lanzetti")</f>
        <v>Jennifer Lanzetti</v>
      </c>
      <c r="B430" s="13">
        <v>32.0</v>
      </c>
      <c r="C430" s="13">
        <v>8.0</v>
      </c>
      <c r="D430" s="13">
        <v>2.0</v>
      </c>
      <c r="E430" s="16">
        <v>4.0</v>
      </c>
      <c r="F430" s="17">
        <v>0.0162</v>
      </c>
      <c r="G430" s="13">
        <v>6.0</v>
      </c>
      <c r="H430" s="13" t="s">
        <v>23</v>
      </c>
      <c r="I430" s="13" t="s">
        <v>42</v>
      </c>
      <c r="J430" s="13" t="s">
        <v>60</v>
      </c>
      <c r="K430" s="13" t="s">
        <v>128</v>
      </c>
      <c r="L430" s="13" t="s">
        <v>23</v>
      </c>
      <c r="M430" s="13" t="s">
        <v>23</v>
      </c>
      <c r="N430" s="13" t="s">
        <v>23</v>
      </c>
      <c r="O430" s="13">
        <v>2.0</v>
      </c>
      <c r="P430" s="13" t="s">
        <v>23</v>
      </c>
      <c r="Q430" s="13" t="s">
        <v>23</v>
      </c>
      <c r="R430" s="13"/>
      <c r="S430" s="13" t="s">
        <v>23</v>
      </c>
      <c r="T430" s="13"/>
      <c r="U430" s="13" t="s">
        <v>23</v>
      </c>
    </row>
    <row r="431">
      <c r="A431" s="9" t="str">
        <f>HYPERLINK("https://docs.google.com/spreadsheets/d/1w0I5RoQ7uENhUG1ncC5V9B3b6BQapplx180-f9F9s4w/edit?usp=sharing","Janet Koth")</f>
        <v>Janet Koth</v>
      </c>
      <c r="B431" s="10">
        <v>6.0</v>
      </c>
      <c r="C431" s="10">
        <v>8.0</v>
      </c>
      <c r="D431" s="10">
        <v>2.0</v>
      </c>
      <c r="E431" s="11">
        <v>4.0</v>
      </c>
      <c r="F431" s="12">
        <v>0.0165</v>
      </c>
      <c r="G431" s="10">
        <v>6.0</v>
      </c>
      <c r="H431" s="10" t="s">
        <v>23</v>
      </c>
      <c r="I431" s="10" t="s">
        <v>42</v>
      </c>
      <c r="J431" s="10" t="s">
        <v>60</v>
      </c>
      <c r="K431" s="10" t="s">
        <v>139</v>
      </c>
      <c r="L431" s="13">
        <v>1.0</v>
      </c>
      <c r="M431" s="13">
        <v>1.0</v>
      </c>
      <c r="N431" s="13" t="s">
        <v>23</v>
      </c>
      <c r="O431" s="13">
        <v>1.0</v>
      </c>
      <c r="P431" s="10" t="s">
        <v>23</v>
      </c>
      <c r="Q431" s="10" t="s">
        <v>23</v>
      </c>
      <c r="R431" s="10"/>
      <c r="S431" s="10" t="s">
        <v>23</v>
      </c>
      <c r="T431" s="10"/>
      <c r="U431" s="10" t="s">
        <v>23</v>
      </c>
    </row>
    <row r="432">
      <c r="A432" s="19" t="str">
        <f>HYPERLINK("https://docs.google.com/spreadsheets/d/1TniiK35-AGMNddj9lkge_tT9QfOGXMfX2thnTv8npTo/edit?usp=sharing","John Raymond")</f>
        <v>John Raymond</v>
      </c>
      <c r="B432" s="20">
        <v>5.0</v>
      </c>
      <c r="C432" s="20">
        <v>8.0</v>
      </c>
      <c r="D432" s="20">
        <v>1.0</v>
      </c>
      <c r="E432" s="26">
        <v>8.0</v>
      </c>
      <c r="F432" s="14">
        <v>0.0166</v>
      </c>
      <c r="G432" s="21">
        <v>3.0</v>
      </c>
      <c r="H432" s="21" t="s">
        <v>23</v>
      </c>
      <c r="I432" s="10" t="s">
        <v>42</v>
      </c>
      <c r="J432" s="20" t="s">
        <v>60</v>
      </c>
      <c r="K432" s="20" t="s">
        <v>140</v>
      </c>
      <c r="L432" s="13" t="s">
        <v>23</v>
      </c>
      <c r="M432" s="13" t="s">
        <v>23</v>
      </c>
      <c r="N432" s="13" t="s">
        <v>23</v>
      </c>
      <c r="O432" s="13">
        <v>1.0</v>
      </c>
      <c r="P432" s="10" t="s">
        <v>23</v>
      </c>
      <c r="Q432" s="10" t="s">
        <v>23</v>
      </c>
      <c r="R432" s="10"/>
      <c r="S432" s="10" t="s">
        <v>23</v>
      </c>
      <c r="T432" s="10"/>
      <c r="U432" s="10" t="s">
        <v>23</v>
      </c>
    </row>
    <row r="433">
      <c r="A433" s="9" t="str">
        <f>HYPERLINK("https://docs.google.com/spreadsheets/d/1OvIOVR4AMBMcafVt9o6KEur-eEFhew1kw_KUv3DV3Xs/edit?usp=sharing","Keith Tollefson")</f>
        <v>Keith Tollefson</v>
      </c>
      <c r="B433" s="10">
        <v>23.0</v>
      </c>
      <c r="C433" s="10">
        <v>7.0</v>
      </c>
      <c r="D433" s="10">
        <v>10.0</v>
      </c>
      <c r="E433" s="11">
        <v>0.7</v>
      </c>
      <c r="F433" s="12">
        <v>0.0175</v>
      </c>
      <c r="G433" s="10">
        <v>25.0</v>
      </c>
      <c r="H433" s="10">
        <v>4.0</v>
      </c>
      <c r="I433" s="10" t="s">
        <v>9</v>
      </c>
      <c r="J433" s="10" t="s">
        <v>48</v>
      </c>
      <c r="K433" s="10" t="s">
        <v>85</v>
      </c>
      <c r="L433" s="13">
        <v>5.0</v>
      </c>
      <c r="M433" s="13">
        <v>3.0</v>
      </c>
      <c r="N433" s="13" t="s">
        <v>23</v>
      </c>
      <c r="O433" s="13">
        <v>5.0</v>
      </c>
      <c r="P433" s="13" t="s">
        <v>23</v>
      </c>
      <c r="Q433" s="13">
        <v>1.0</v>
      </c>
      <c r="R433" s="13"/>
      <c r="S433" s="10" t="s">
        <v>23</v>
      </c>
      <c r="T433" s="10"/>
      <c r="U433" s="10" t="s">
        <v>23</v>
      </c>
    </row>
    <row r="434">
      <c r="A434" s="9" t="str">
        <f>HYPERLINK("https://docs.google.com/spreadsheets/d/1EsGJrNyA7pLwFUlZ6WfOkbnPz58Cle9N9c6epQSDRVA/edit?usp=sharing","Terry Deitz")</f>
        <v>Terry Deitz</v>
      </c>
      <c r="B434" s="10">
        <v>31.0</v>
      </c>
      <c r="C434" s="10">
        <v>7.0</v>
      </c>
      <c r="D434" s="10">
        <v>6.0</v>
      </c>
      <c r="E434" s="11">
        <v>1.17</v>
      </c>
      <c r="F434" s="12">
        <v>0.016</v>
      </c>
      <c r="G434" s="10">
        <v>13.0</v>
      </c>
      <c r="H434" s="10">
        <v>2.0</v>
      </c>
      <c r="I434" s="10" t="s">
        <v>42</v>
      </c>
      <c r="J434" s="10" t="s">
        <v>60</v>
      </c>
      <c r="K434" s="10" t="s">
        <v>112</v>
      </c>
      <c r="L434" s="13">
        <v>3.0</v>
      </c>
      <c r="M434" s="13">
        <v>3.0</v>
      </c>
      <c r="N434" s="13" t="s">
        <v>23</v>
      </c>
      <c r="O434" s="13">
        <v>2.0</v>
      </c>
      <c r="P434" s="10" t="s">
        <v>23</v>
      </c>
      <c r="Q434" s="10" t="s">
        <v>23</v>
      </c>
      <c r="R434" s="10"/>
      <c r="S434" s="10" t="s">
        <v>23</v>
      </c>
      <c r="T434" s="10"/>
      <c r="U434" s="10" t="s">
        <v>141</v>
      </c>
    </row>
    <row r="435">
      <c r="A435" s="9" t="str">
        <f>HYPERLINK("https://docs.google.com/spreadsheets/d/1hg_GT4r2smQsgkwEYBqHOukVavnNSyncsyfceWDpOho/edit?usp=sharing","Susan Hawk")</f>
        <v>Susan Hawk</v>
      </c>
      <c r="B435" s="10">
        <v>8.0</v>
      </c>
      <c r="C435" s="10">
        <v>7.0</v>
      </c>
      <c r="D435" s="10">
        <v>6.0</v>
      </c>
      <c r="E435" s="11">
        <v>1.17</v>
      </c>
      <c r="F435" s="12">
        <v>0.0138</v>
      </c>
      <c r="G435" s="10">
        <v>17.0</v>
      </c>
      <c r="H435" s="10">
        <v>2.0</v>
      </c>
      <c r="I435" s="10" t="s">
        <v>42</v>
      </c>
      <c r="J435" s="10" t="s">
        <v>60</v>
      </c>
      <c r="K435" s="10" t="s">
        <v>91</v>
      </c>
      <c r="L435" s="13">
        <v>4.0</v>
      </c>
      <c r="M435" s="13">
        <v>3.0</v>
      </c>
      <c r="N435" s="13" t="s">
        <v>23</v>
      </c>
      <c r="O435" s="13">
        <v>1.0</v>
      </c>
      <c r="P435" s="10" t="s">
        <v>23</v>
      </c>
      <c r="Q435" s="10" t="s">
        <v>23</v>
      </c>
      <c r="R435" s="10"/>
      <c r="S435" s="10" t="s">
        <v>23</v>
      </c>
      <c r="T435" s="10"/>
      <c r="U435" s="10" t="s">
        <v>64</v>
      </c>
    </row>
    <row r="436">
      <c r="A436" s="15" t="str">
        <f>HYPERLINK("https://docs.google.com/spreadsheets/d/1yi_HtvN4TS5uRWCCFJg5RFaoouiIIe8CAtY_XnqP6iM/edit?usp=sharing","Lisa Keiffer")</f>
        <v>Lisa Keiffer</v>
      </c>
      <c r="B436" s="13">
        <v>9.0</v>
      </c>
      <c r="C436" s="13">
        <v>7.0</v>
      </c>
      <c r="D436" s="13">
        <v>6.0</v>
      </c>
      <c r="E436" s="16">
        <v>1.17</v>
      </c>
      <c r="F436" s="17">
        <v>0.0167</v>
      </c>
      <c r="G436" s="13">
        <v>15.0</v>
      </c>
      <c r="H436" s="13">
        <v>1.0</v>
      </c>
      <c r="I436" s="13" t="s">
        <v>42</v>
      </c>
      <c r="J436" s="13" t="s">
        <v>60</v>
      </c>
      <c r="K436" s="13" t="s">
        <v>105</v>
      </c>
      <c r="L436" s="13">
        <v>3.0</v>
      </c>
      <c r="M436" s="13">
        <v>2.0</v>
      </c>
      <c r="N436" s="13" t="s">
        <v>23</v>
      </c>
      <c r="O436" s="13">
        <v>4.0</v>
      </c>
      <c r="P436" s="10" t="s">
        <v>23</v>
      </c>
      <c r="Q436" s="10" t="s">
        <v>23</v>
      </c>
      <c r="R436" s="10"/>
      <c r="S436" s="10" t="s">
        <v>23</v>
      </c>
      <c r="T436" s="10"/>
      <c r="U436" s="10" t="s">
        <v>23</v>
      </c>
    </row>
    <row r="437">
      <c r="A437" s="9" t="str">
        <f>HYPERLINK("https://docs.google.com/spreadsheets/d/1nYlVL4RxK2ZUH-a4MfKCalHyEjDRWz2ZumhyoaYsjTE/edit?usp=sharing","Kelly Bruno")</f>
        <v>Kelly Bruno</v>
      </c>
      <c r="B437" s="10">
        <v>21.0</v>
      </c>
      <c r="C437" s="10">
        <v>7.0</v>
      </c>
      <c r="D437" s="10">
        <v>6.0</v>
      </c>
      <c r="E437" s="11">
        <v>1.17</v>
      </c>
      <c r="F437" s="12">
        <v>0.0168</v>
      </c>
      <c r="G437" s="10">
        <v>15.0</v>
      </c>
      <c r="H437" s="10">
        <v>2.0</v>
      </c>
      <c r="I437" s="10" t="s">
        <v>42</v>
      </c>
      <c r="J437" s="10" t="s">
        <v>60</v>
      </c>
      <c r="K437" s="10" t="s">
        <v>112</v>
      </c>
      <c r="L437" s="13">
        <v>4.0</v>
      </c>
      <c r="M437" s="13">
        <v>4.0</v>
      </c>
      <c r="N437" s="13" t="s">
        <v>23</v>
      </c>
      <c r="O437" s="13">
        <v>2.0</v>
      </c>
      <c r="P437" s="10" t="s">
        <v>23</v>
      </c>
      <c r="Q437" s="10" t="s">
        <v>23</v>
      </c>
      <c r="R437" s="10"/>
      <c r="S437" s="10" t="s">
        <v>23</v>
      </c>
      <c r="T437" s="10"/>
      <c r="U437" s="10" t="s">
        <v>23</v>
      </c>
    </row>
    <row r="438">
      <c r="A438" s="15" t="str">
        <f>HYPERLINK("https://docs.google.com/spreadsheets/d/1Hf_PbZTXAuooCoiF7c3Bz80t5-zCjdWHF8wQ_HyodNs/edit?usp=sharing","James Lim")</f>
        <v>James Lim</v>
      </c>
      <c r="B438" s="13">
        <v>36.0</v>
      </c>
      <c r="C438" s="13">
        <v>7.0</v>
      </c>
      <c r="D438" s="13">
        <v>6.0</v>
      </c>
      <c r="E438" s="16">
        <v>1.17</v>
      </c>
      <c r="F438" s="17">
        <v>0.0178</v>
      </c>
      <c r="G438" s="13">
        <v>17.0</v>
      </c>
      <c r="H438" s="13">
        <v>1.0</v>
      </c>
      <c r="I438" s="13" t="s">
        <v>42</v>
      </c>
      <c r="J438" s="13" t="s">
        <v>60</v>
      </c>
      <c r="K438" s="13" t="s">
        <v>112</v>
      </c>
      <c r="L438" s="13">
        <v>3.0</v>
      </c>
      <c r="M438" s="13">
        <v>2.0</v>
      </c>
      <c r="N438" s="13" t="s">
        <v>23</v>
      </c>
      <c r="O438" s="13">
        <v>4.0</v>
      </c>
      <c r="P438" s="13" t="s">
        <v>23</v>
      </c>
      <c r="Q438" s="13" t="s">
        <v>23</v>
      </c>
      <c r="R438" s="13"/>
      <c r="S438" s="13" t="s">
        <v>23</v>
      </c>
      <c r="T438" s="13" t="s">
        <v>23</v>
      </c>
      <c r="U438" s="13" t="s">
        <v>23</v>
      </c>
    </row>
    <row r="439">
      <c r="A439" s="15" t="str">
        <f>HYPERLINK("https://docs.google.com/spreadsheets/d/1q-5bbq9txg93Y0eUACxRPTIN5PuRjeDVpNDfeXEw4iE/edit?usp=sharing","Roark Luskin")</f>
        <v>Roark Luskin</v>
      </c>
      <c r="B439" s="13">
        <v>35.0</v>
      </c>
      <c r="C439" s="13">
        <v>7.0</v>
      </c>
      <c r="D439" s="13">
        <v>5.0</v>
      </c>
      <c r="E439" s="16">
        <v>1.4</v>
      </c>
      <c r="F439" s="17">
        <v>0.0162</v>
      </c>
      <c r="G439" s="13">
        <v>14.0</v>
      </c>
      <c r="H439" s="13">
        <v>1.0</v>
      </c>
      <c r="I439" s="13" t="s">
        <v>42</v>
      </c>
      <c r="J439" s="13" t="s">
        <v>60</v>
      </c>
      <c r="K439" s="13" t="s">
        <v>114</v>
      </c>
      <c r="L439" s="13">
        <v>3.0</v>
      </c>
      <c r="M439" s="13">
        <v>4.0</v>
      </c>
      <c r="N439" s="13" t="s">
        <v>23</v>
      </c>
      <c r="O439" s="13">
        <v>1.0</v>
      </c>
      <c r="P439" s="13" t="s">
        <v>23</v>
      </c>
      <c r="Q439" s="13" t="s">
        <v>23</v>
      </c>
      <c r="R439" s="13"/>
      <c r="S439" s="13" t="s">
        <v>23</v>
      </c>
      <c r="T439" s="13" t="s">
        <v>23</v>
      </c>
      <c r="U439" s="13" t="s">
        <v>23</v>
      </c>
    </row>
    <row r="440">
      <c r="A440" s="9" t="str">
        <f>HYPERLINK("https://docs.google.com/spreadsheets/d/1nRsx7fR5xbH1eAbI_vBDvqXOgh7mXIwmZNhzrVL6oGM/edit?usp=sharing","Sarah Jones")</f>
        <v>Sarah Jones</v>
      </c>
      <c r="B440" s="10">
        <v>4.0</v>
      </c>
      <c r="C440" s="10">
        <v>7.0</v>
      </c>
      <c r="D440" s="10">
        <v>4.0</v>
      </c>
      <c r="E440" s="11">
        <v>1.75</v>
      </c>
      <c r="F440" s="12">
        <v>0.0146</v>
      </c>
      <c r="G440" s="10">
        <v>12.0</v>
      </c>
      <c r="H440" s="10">
        <v>1.0</v>
      </c>
      <c r="I440" s="10" t="s">
        <v>42</v>
      </c>
      <c r="J440" s="10" t="s">
        <v>60</v>
      </c>
      <c r="K440" s="10" t="s">
        <v>107</v>
      </c>
      <c r="L440" s="13" t="s">
        <v>23</v>
      </c>
      <c r="M440" s="13" t="s">
        <v>23</v>
      </c>
      <c r="N440" s="13" t="s">
        <v>23</v>
      </c>
      <c r="O440" s="13">
        <v>4.0</v>
      </c>
      <c r="P440" s="10" t="s">
        <v>23</v>
      </c>
      <c r="Q440" s="10" t="s">
        <v>23</v>
      </c>
      <c r="R440" s="10"/>
      <c r="S440" s="10" t="s">
        <v>23</v>
      </c>
      <c r="T440" s="10"/>
      <c r="U440" s="10" t="s">
        <v>23</v>
      </c>
    </row>
    <row r="441">
      <c r="A441" s="9" t="str">
        <f>HYPERLINK("https://docs.google.com/spreadsheets/d/1HA0vQC0CSnQtVc8u58vwNd3sIFCc79SKVqM1abMG1hI/edit?usp=sharing","Lindsey Cascaddan")</f>
        <v>Lindsey Cascaddan</v>
      </c>
      <c r="B441" s="10">
        <v>30.0</v>
      </c>
      <c r="C441" s="10">
        <v>7.0</v>
      </c>
      <c r="D441" s="10">
        <v>4.0</v>
      </c>
      <c r="E441" s="11">
        <v>1.75</v>
      </c>
      <c r="F441" s="12">
        <v>0.0153</v>
      </c>
      <c r="G441" s="10">
        <v>11.0</v>
      </c>
      <c r="H441" s="10" t="s">
        <v>23</v>
      </c>
      <c r="I441" s="10" t="s">
        <v>42</v>
      </c>
      <c r="J441" s="10" t="s">
        <v>60</v>
      </c>
      <c r="K441" s="10" t="s">
        <v>113</v>
      </c>
      <c r="L441" s="13">
        <v>3.0</v>
      </c>
      <c r="M441" s="13">
        <v>3.0</v>
      </c>
      <c r="N441" s="13" t="s">
        <v>23</v>
      </c>
      <c r="O441" s="13">
        <v>1.0</v>
      </c>
      <c r="P441" s="10" t="s">
        <v>23</v>
      </c>
      <c r="Q441" s="10" t="s">
        <v>23</v>
      </c>
      <c r="R441" s="10"/>
      <c r="S441" s="10" t="s">
        <v>23</v>
      </c>
      <c r="T441" s="10"/>
      <c r="U441" s="10" t="s">
        <v>23</v>
      </c>
    </row>
    <row r="442">
      <c r="A442" s="9" t="str">
        <f>HYPERLINK("https://docs.google.com/spreadsheets/d/1y7awzkkkaNlh7XKjc44AGriTvqB9H3pVz8cFLyIYdbo/edit?usp=sharing","J'Tia Taylor")</f>
        <v>J'Tia Taylor</v>
      </c>
      <c r="B442" s="10">
        <v>28.0</v>
      </c>
      <c r="C442" s="10">
        <v>7.0</v>
      </c>
      <c r="D442" s="10">
        <v>4.0</v>
      </c>
      <c r="E442" s="11">
        <v>1.75</v>
      </c>
      <c r="F442" s="12">
        <v>0.0153</v>
      </c>
      <c r="G442" s="10">
        <v>11.0</v>
      </c>
      <c r="H442" s="10" t="s">
        <v>23</v>
      </c>
      <c r="I442" s="10" t="s">
        <v>42</v>
      </c>
      <c r="J442" s="10" t="s">
        <v>60</v>
      </c>
      <c r="K442" s="10" t="s">
        <v>113</v>
      </c>
      <c r="L442" s="13">
        <v>1.0</v>
      </c>
      <c r="M442" s="13">
        <v>1.0</v>
      </c>
      <c r="N442" s="13" t="s">
        <v>23</v>
      </c>
      <c r="O442" s="13">
        <v>3.0</v>
      </c>
      <c r="P442" s="10" t="s">
        <v>23</v>
      </c>
      <c r="Q442" s="10" t="s">
        <v>23</v>
      </c>
      <c r="R442" s="10"/>
      <c r="S442" s="10" t="s">
        <v>23</v>
      </c>
      <c r="T442" s="10"/>
      <c r="U442" s="10" t="s">
        <v>23</v>
      </c>
    </row>
    <row r="443">
      <c r="A443" s="9" t="str">
        <f>HYPERLINK("https://docs.google.com/spreadsheets/d/1v6gXy2rHfH0CkzT8zUZyZm6b-WimbnBspkh1B5hksu4/edit?usp=sharing","Bill Posley")</f>
        <v>Bill Posley</v>
      </c>
      <c r="B443" s="10">
        <v>24.0</v>
      </c>
      <c r="C443" s="10">
        <v>7.0</v>
      </c>
      <c r="D443" s="10">
        <v>4.0</v>
      </c>
      <c r="E443" s="11">
        <v>1.75</v>
      </c>
      <c r="F443" s="12">
        <v>0.0183</v>
      </c>
      <c r="G443" s="10">
        <v>11.0</v>
      </c>
      <c r="H443" s="10">
        <v>1.0</v>
      </c>
      <c r="I443" s="10" t="s">
        <v>42</v>
      </c>
      <c r="J443" s="10" t="s">
        <v>60</v>
      </c>
      <c r="K443" s="10" t="s">
        <v>113</v>
      </c>
      <c r="L443" s="13">
        <v>2.0</v>
      </c>
      <c r="M443" s="13">
        <v>2.0</v>
      </c>
      <c r="N443" s="13" t="s">
        <v>23</v>
      </c>
      <c r="O443" s="13">
        <v>2.0</v>
      </c>
      <c r="P443" s="10" t="s">
        <v>23</v>
      </c>
      <c r="Q443" s="10" t="s">
        <v>23</v>
      </c>
      <c r="R443" s="10"/>
      <c r="S443" s="10" t="s">
        <v>23</v>
      </c>
      <c r="T443" s="10"/>
      <c r="U443" s="10" t="s">
        <v>23</v>
      </c>
    </row>
    <row r="444">
      <c r="A444" s="9" t="str">
        <f>HYPERLINK("https://docs.google.com/spreadsheets/d/1EsGJrNyA7pLwFUlZ6WfOkbnPz58Cle9N9c6epQSDRVA/edit?usp=sharing","Peih-Gee Law")</f>
        <v>Peih-Gee Law</v>
      </c>
      <c r="B444" s="10">
        <v>31.0</v>
      </c>
      <c r="C444" s="10">
        <v>7.0</v>
      </c>
      <c r="D444" s="10">
        <v>3.0</v>
      </c>
      <c r="E444" s="11">
        <v>2.33</v>
      </c>
      <c r="F444" s="12">
        <v>0.016</v>
      </c>
      <c r="G444" s="10">
        <v>9.0</v>
      </c>
      <c r="H444" s="10" t="s">
        <v>23</v>
      </c>
      <c r="I444" s="10" t="s">
        <v>42</v>
      </c>
      <c r="J444" s="10" t="s">
        <v>60</v>
      </c>
      <c r="K444" s="10" t="s">
        <v>124</v>
      </c>
      <c r="L444" s="13">
        <v>1.0</v>
      </c>
      <c r="M444" s="13" t="s">
        <v>23</v>
      </c>
      <c r="N444" s="13" t="s">
        <v>23</v>
      </c>
      <c r="O444" s="13">
        <v>3.0</v>
      </c>
      <c r="P444" s="10" t="s">
        <v>23</v>
      </c>
      <c r="Q444" s="10" t="s">
        <v>23</v>
      </c>
      <c r="R444" s="10"/>
      <c r="S444" s="10" t="s">
        <v>23</v>
      </c>
      <c r="T444" s="10"/>
      <c r="U444" s="10" t="s">
        <v>23</v>
      </c>
    </row>
    <row r="445">
      <c r="A445" s="9" t="str">
        <f>HYPERLINK("https://docs.google.com/spreadsheets/d/1yi_HtvN4TS5uRWCCFJg5RFaoouiIIe8CAtY_XnqP6iM/edit?usp=sharing","John Palyok")</f>
        <v>John Palyok</v>
      </c>
      <c r="B445" s="10">
        <v>9.0</v>
      </c>
      <c r="C445" s="10">
        <v>7.0</v>
      </c>
      <c r="D445" s="10">
        <v>3.0</v>
      </c>
      <c r="E445" s="11">
        <v>2.33</v>
      </c>
      <c r="F445" s="17">
        <v>0.0167</v>
      </c>
      <c r="G445" s="10">
        <v>7.0</v>
      </c>
      <c r="H445" s="10" t="s">
        <v>23</v>
      </c>
      <c r="I445" s="10" t="s">
        <v>42</v>
      </c>
      <c r="J445" s="10" t="s">
        <v>60</v>
      </c>
      <c r="K445" s="10" t="s">
        <v>136</v>
      </c>
      <c r="L445" s="10">
        <v>1.0</v>
      </c>
      <c r="M445" s="10">
        <v>1.0</v>
      </c>
      <c r="N445" s="27"/>
      <c r="O445" s="10">
        <v>2.0</v>
      </c>
      <c r="P445" s="10" t="s">
        <v>23</v>
      </c>
      <c r="Q445" s="10" t="s">
        <v>23</v>
      </c>
      <c r="R445" s="10"/>
      <c r="S445" s="10" t="s">
        <v>23</v>
      </c>
      <c r="T445" s="10"/>
      <c r="U445" s="10" t="s">
        <v>23</v>
      </c>
    </row>
    <row r="446">
      <c r="A446" s="19" t="str">
        <f>HYPERLINK("https://docs.google.com/spreadsheets/d/1TniiK35-AGMNddj9lkge_tT9QfOGXMfX2thnTv8npTo/edit?usp=sharing","Jed Hildebrand")</f>
        <v>Jed Hildebrand</v>
      </c>
      <c r="B446" s="20">
        <v>5.0</v>
      </c>
      <c r="C446" s="20">
        <v>7.0</v>
      </c>
      <c r="D446" s="20">
        <v>3.0</v>
      </c>
      <c r="E446" s="26">
        <v>2.33</v>
      </c>
      <c r="F446" s="14">
        <v>0.0145</v>
      </c>
      <c r="G446" s="21">
        <v>9.0</v>
      </c>
      <c r="H446" s="21" t="s">
        <v>23</v>
      </c>
      <c r="I446" s="10" t="s">
        <v>42</v>
      </c>
      <c r="J446" s="20" t="s">
        <v>60</v>
      </c>
      <c r="K446" s="20" t="s">
        <v>137</v>
      </c>
      <c r="L446" s="13">
        <v>1.0</v>
      </c>
      <c r="M446" s="13">
        <v>2.0</v>
      </c>
      <c r="N446" s="13" t="s">
        <v>23</v>
      </c>
      <c r="O446" s="13">
        <v>1.0</v>
      </c>
      <c r="P446" s="10" t="s">
        <v>23</v>
      </c>
      <c r="Q446" s="10" t="s">
        <v>23</v>
      </c>
      <c r="R446" s="10"/>
      <c r="S446" s="10" t="s">
        <v>23</v>
      </c>
      <c r="T446" s="10"/>
      <c r="U446" s="10" t="s">
        <v>23</v>
      </c>
    </row>
    <row r="447">
      <c r="A447" s="15" t="str">
        <f>HYPERLINK("https://docs.google.com/spreadsheets/d/1tElnwN2HVf964gGw8Ei53RyfjarS40wkDY3zivAPWp0/edit?usp=sharing","Caleb Reynolds")</f>
        <v>Caleb Reynolds</v>
      </c>
      <c r="B447" s="13">
        <v>34.0</v>
      </c>
      <c r="C447" s="13">
        <v>7.0</v>
      </c>
      <c r="D447" s="13">
        <v>3.0</v>
      </c>
      <c r="E447" s="16">
        <v>2.33</v>
      </c>
      <c r="F447" s="17">
        <v>0.017</v>
      </c>
      <c r="G447" s="13">
        <v>9.0</v>
      </c>
      <c r="H447" s="13" t="s">
        <v>23</v>
      </c>
      <c r="I447" s="13" t="s">
        <v>42</v>
      </c>
      <c r="J447" s="13" t="s">
        <v>60</v>
      </c>
      <c r="K447" s="13" t="s">
        <v>124</v>
      </c>
      <c r="L447" s="13" t="s">
        <v>23</v>
      </c>
      <c r="M447" s="13" t="s">
        <v>23</v>
      </c>
      <c r="N447" s="13" t="s">
        <v>23</v>
      </c>
      <c r="O447" s="13">
        <v>3.0</v>
      </c>
      <c r="P447" s="13" t="s">
        <v>23</v>
      </c>
      <c r="Q447" s="13" t="s">
        <v>23</v>
      </c>
      <c r="R447" s="13"/>
      <c r="S447" s="13" t="s">
        <v>23</v>
      </c>
      <c r="T447" s="13" t="s">
        <v>23</v>
      </c>
      <c r="U447" s="13" t="s">
        <v>23</v>
      </c>
    </row>
    <row r="448">
      <c r="A448" s="15" t="str">
        <f>HYPERLINK("https://docs.google.com/spreadsheets/d/1q-5bbq9txg93Y0eUACxRPTIN5PuRjeDVpNDfeXEw4iE/edit?usp=sharing","Patrick Bolton")</f>
        <v>Patrick Bolton</v>
      </c>
      <c r="B448" s="13">
        <v>35.0</v>
      </c>
      <c r="C448" s="13">
        <v>7.0</v>
      </c>
      <c r="D448" s="13">
        <v>3.0</v>
      </c>
      <c r="E448" s="16">
        <v>2.33</v>
      </c>
      <c r="F448" s="17">
        <v>0.0162</v>
      </c>
      <c r="G448" s="13">
        <v>8.0</v>
      </c>
      <c r="H448" s="13" t="s">
        <v>23</v>
      </c>
      <c r="I448" s="13" t="s">
        <v>42</v>
      </c>
      <c r="J448" s="13" t="s">
        <v>60</v>
      </c>
      <c r="K448" s="13" t="s">
        <v>136</v>
      </c>
      <c r="L448" s="13" t="s">
        <v>23</v>
      </c>
      <c r="M448" s="13">
        <v>1.0</v>
      </c>
      <c r="N448" s="13" t="s">
        <v>23</v>
      </c>
      <c r="O448" s="13">
        <v>2.0</v>
      </c>
      <c r="P448" s="13" t="s">
        <v>23</v>
      </c>
      <c r="Q448" s="13" t="s">
        <v>23</v>
      </c>
      <c r="R448" s="13"/>
      <c r="S448" s="13" t="s">
        <v>23</v>
      </c>
      <c r="T448" s="13" t="s">
        <v>23</v>
      </c>
      <c r="U448" s="13" t="s">
        <v>23</v>
      </c>
    </row>
    <row r="449">
      <c r="A449" s="9" t="str">
        <f>HYPERLINK("https://docs.google.com/spreadsheets/d/1iNFGyKFcJm-tPp7Dg94yi7mHCDbJssmAD_PiaDM_tAE/edit?usp=sharing","Val Collins")</f>
        <v>Val Collins</v>
      </c>
      <c r="B449" s="10">
        <v>29.0</v>
      </c>
      <c r="C449" s="10">
        <v>7.0</v>
      </c>
      <c r="D449" s="10">
        <v>2.0</v>
      </c>
      <c r="E449" s="11">
        <v>3.5</v>
      </c>
      <c r="F449" s="12">
        <v>0.0157</v>
      </c>
      <c r="G449" s="10">
        <v>6.0</v>
      </c>
      <c r="H449" s="10" t="s">
        <v>23</v>
      </c>
      <c r="I449" s="10" t="s">
        <v>42</v>
      </c>
      <c r="J449" s="10" t="s">
        <v>60</v>
      </c>
      <c r="K449" s="10" t="s">
        <v>128</v>
      </c>
      <c r="L449" s="23" t="s">
        <v>23</v>
      </c>
      <c r="M449" s="23" t="s">
        <v>23</v>
      </c>
      <c r="N449" s="23" t="s">
        <v>23</v>
      </c>
      <c r="O449" s="23">
        <v>2.0</v>
      </c>
      <c r="P449" s="23">
        <v>1.0</v>
      </c>
      <c r="Q449" s="23" t="s">
        <v>23</v>
      </c>
      <c r="R449" s="23"/>
      <c r="S449" s="13" t="s">
        <v>23</v>
      </c>
      <c r="T449" s="13"/>
      <c r="U449" s="10" t="s">
        <v>23</v>
      </c>
    </row>
    <row r="450">
      <c r="A450" s="9" t="str">
        <f>HYPERLINK("https://docs.google.com/spreadsheets/d/1X-5lK1sJCBpvE08rC1VdSsGvayqyrC62cK7W45Q4XX8/edit?usp=sharing","Rupert Boneham")</f>
        <v>Rupert Boneham</v>
      </c>
      <c r="B450" s="10">
        <v>27.0</v>
      </c>
      <c r="C450" s="10">
        <v>7.0</v>
      </c>
      <c r="D450" s="10">
        <v>2.0</v>
      </c>
      <c r="E450" s="11">
        <v>3.5</v>
      </c>
      <c r="F450" s="12">
        <v>0.0162</v>
      </c>
      <c r="G450" s="10">
        <v>4.0</v>
      </c>
      <c r="H450" s="10" t="s">
        <v>23</v>
      </c>
      <c r="I450" s="10" t="s">
        <v>42</v>
      </c>
      <c r="J450" s="10" t="s">
        <v>60</v>
      </c>
      <c r="K450" s="10" t="s">
        <v>110</v>
      </c>
      <c r="L450" s="13" t="s">
        <v>23</v>
      </c>
      <c r="M450" s="13" t="s">
        <v>23</v>
      </c>
      <c r="N450" s="13" t="s">
        <v>23</v>
      </c>
      <c r="O450" s="13" t="s">
        <v>23</v>
      </c>
      <c r="P450" s="13" t="s">
        <v>23</v>
      </c>
      <c r="Q450" s="13">
        <v>1.0</v>
      </c>
      <c r="R450" s="13"/>
      <c r="S450" s="10" t="s">
        <v>23</v>
      </c>
      <c r="T450" s="10"/>
      <c r="U450" s="10" t="s">
        <v>23</v>
      </c>
    </row>
    <row r="451">
      <c r="A451" s="9" t="str">
        <f>HYPERLINK("https://docs.google.com/spreadsheets/d/1ReMaq-fM8zzflOjjrMrgnxEsdZxPIPIJqiZ9cCLO3cE/edit?usp=sharing","Roxanne Morris")</f>
        <v>Roxanne Morris</v>
      </c>
      <c r="B451" s="10">
        <v>25.0</v>
      </c>
      <c r="C451" s="10">
        <v>7.0</v>
      </c>
      <c r="D451" s="10">
        <v>2.0</v>
      </c>
      <c r="E451" s="11">
        <v>3.5</v>
      </c>
      <c r="F451" s="12">
        <v>0.0161</v>
      </c>
      <c r="G451" s="10">
        <v>6.0</v>
      </c>
      <c r="H451" s="10" t="s">
        <v>23</v>
      </c>
      <c r="I451" s="10" t="s">
        <v>42</v>
      </c>
      <c r="J451" s="10" t="s">
        <v>60</v>
      </c>
      <c r="K451" s="10" t="s">
        <v>128</v>
      </c>
      <c r="L451" s="13" t="s">
        <v>23</v>
      </c>
      <c r="M451" s="13" t="s">
        <v>23</v>
      </c>
      <c r="N451" s="13" t="s">
        <v>23</v>
      </c>
      <c r="O451" s="13">
        <v>2.0</v>
      </c>
      <c r="P451" s="10" t="s">
        <v>23</v>
      </c>
      <c r="Q451" s="10" t="s">
        <v>23</v>
      </c>
      <c r="R451" s="10"/>
      <c r="S451" s="10" t="s">
        <v>23</v>
      </c>
      <c r="T451" s="10"/>
      <c r="U451" s="10" t="s">
        <v>23</v>
      </c>
    </row>
    <row r="452">
      <c r="A452" s="9" t="str">
        <f>HYPERLINK("https://docs.google.com/spreadsheets/d/1HA0vQC0CSnQtVc8u58vwNd3sIFCc79SKVqM1abMG1hI/edit?usp=sharing","So Kim")</f>
        <v>So Kim</v>
      </c>
      <c r="B452" s="10">
        <v>30.0</v>
      </c>
      <c r="C452" s="10">
        <v>7.0</v>
      </c>
      <c r="D452" s="10">
        <v>1.0</v>
      </c>
      <c r="E452" s="11">
        <v>7.0</v>
      </c>
      <c r="F452" s="12">
        <v>0.0153</v>
      </c>
      <c r="G452" s="10">
        <v>3.0</v>
      </c>
      <c r="H452" s="10" t="s">
        <v>23</v>
      </c>
      <c r="I452" s="10" t="s">
        <v>42</v>
      </c>
      <c r="J452" s="10" t="s">
        <v>60</v>
      </c>
      <c r="K452" s="10" t="s">
        <v>138</v>
      </c>
      <c r="L452" s="13" t="s">
        <v>23</v>
      </c>
      <c r="M452" s="13" t="s">
        <v>23</v>
      </c>
      <c r="N452" s="13" t="s">
        <v>23</v>
      </c>
      <c r="O452" s="13">
        <v>1.0</v>
      </c>
      <c r="P452" s="10" t="s">
        <v>23</v>
      </c>
      <c r="Q452" s="10" t="s">
        <v>23</v>
      </c>
      <c r="R452" s="10"/>
      <c r="S452" s="10" t="s">
        <v>23</v>
      </c>
      <c r="T452" s="10"/>
      <c r="U452" s="10" t="s">
        <v>23</v>
      </c>
    </row>
    <row r="453">
      <c r="A453" s="9" t="str">
        <f>HYPERLINK("https://docs.google.com/spreadsheets/d/1tPYt5CqjX32YXnh0BRsechvszEP2n4_ePabpiRTSzqE/edit?usp=sharing","Nicole Delma")</f>
        <v>Nicole Delma</v>
      </c>
      <c r="B453" s="10">
        <v>7.0</v>
      </c>
      <c r="C453" s="10">
        <v>7.0</v>
      </c>
      <c r="D453" s="10">
        <v>1.0</v>
      </c>
      <c r="E453" s="11">
        <v>7.0</v>
      </c>
      <c r="F453" s="12">
        <v>0.014</v>
      </c>
      <c r="G453" s="10">
        <v>4.0</v>
      </c>
      <c r="H453" s="10" t="s">
        <v>23</v>
      </c>
      <c r="I453" s="10" t="s">
        <v>42</v>
      </c>
      <c r="J453" s="10" t="s">
        <v>60</v>
      </c>
      <c r="K453" s="10" t="s">
        <v>140</v>
      </c>
      <c r="L453" s="13" t="s">
        <v>23</v>
      </c>
      <c r="M453" s="13" t="s">
        <v>23</v>
      </c>
      <c r="N453" s="13" t="s">
        <v>23</v>
      </c>
      <c r="O453" s="13">
        <v>1.0</v>
      </c>
      <c r="P453" s="10" t="s">
        <v>23</v>
      </c>
      <c r="Q453" s="10" t="s">
        <v>23</v>
      </c>
      <c r="R453" s="10"/>
      <c r="S453" s="10" t="s">
        <v>23</v>
      </c>
      <c r="T453" s="10"/>
      <c r="U453" s="10" t="s">
        <v>23</v>
      </c>
    </row>
    <row r="454">
      <c r="A454" s="9" t="str">
        <f>HYPERLINK("https://docs.google.com/spreadsheets/d/1nRsx7fR5xbH1eAbI_vBDvqXOgh7mXIwmZNhzrVL6oGM/edit?usp=sharing","Zoe Zanidakis")</f>
        <v>Zoe Zanidakis</v>
      </c>
      <c r="B454" s="10">
        <v>4.0</v>
      </c>
      <c r="C454" s="10">
        <v>6.0</v>
      </c>
      <c r="D454" s="10">
        <v>9.0</v>
      </c>
      <c r="E454" s="11">
        <v>0.67</v>
      </c>
      <c r="F454" s="12">
        <v>0.0126</v>
      </c>
      <c r="G454" s="10">
        <v>27.0</v>
      </c>
      <c r="H454" s="10">
        <v>5.0</v>
      </c>
      <c r="I454" s="10" t="s">
        <v>9</v>
      </c>
      <c r="J454" s="10" t="s">
        <v>48</v>
      </c>
      <c r="K454" s="10" t="s">
        <v>49</v>
      </c>
      <c r="L454" s="13">
        <v>2.0</v>
      </c>
      <c r="M454" s="13">
        <v>5.0</v>
      </c>
      <c r="N454" s="13" t="s">
        <v>23</v>
      </c>
      <c r="O454" s="13">
        <v>4.0</v>
      </c>
      <c r="P454" s="10" t="s">
        <v>23</v>
      </c>
      <c r="Q454" s="10" t="s">
        <v>23</v>
      </c>
      <c r="R454" s="10"/>
      <c r="S454" s="10" t="s">
        <v>23</v>
      </c>
      <c r="T454" s="10"/>
      <c r="U454" s="10" t="s">
        <v>23</v>
      </c>
    </row>
    <row r="455">
      <c r="A455" s="9" t="str">
        <f>HYPERLINK("https://docs.google.com/spreadsheets/d/1nYlVL4RxK2ZUH-a4MfKCalHyEjDRWz2ZumhyoaYsjTE/edit?usp=sharing","Yve Rojas")</f>
        <v>Yve Rojas</v>
      </c>
      <c r="B455" s="10">
        <v>21.0</v>
      </c>
      <c r="C455" s="10">
        <v>6.0</v>
      </c>
      <c r="D455" s="10">
        <v>6.0</v>
      </c>
      <c r="E455" s="11">
        <v>1.0</v>
      </c>
      <c r="F455" s="12">
        <v>0.0144</v>
      </c>
      <c r="G455" s="10">
        <v>15.0</v>
      </c>
      <c r="H455" s="10">
        <v>3.0</v>
      </c>
      <c r="I455" s="10" t="s">
        <v>42</v>
      </c>
      <c r="J455" s="10" t="s">
        <v>60</v>
      </c>
      <c r="K455" s="10" t="s">
        <v>111</v>
      </c>
      <c r="L455" s="13">
        <v>2.0</v>
      </c>
      <c r="M455" s="13">
        <v>1.0</v>
      </c>
      <c r="N455" s="13" t="s">
        <v>23</v>
      </c>
      <c r="O455" s="13">
        <v>5.0</v>
      </c>
      <c r="P455" s="10" t="s">
        <v>23</v>
      </c>
      <c r="Q455" s="10" t="s">
        <v>23</v>
      </c>
      <c r="R455" s="10"/>
      <c r="S455" s="10" t="s">
        <v>23</v>
      </c>
      <c r="T455" s="10"/>
      <c r="U455" s="10" t="s">
        <v>23</v>
      </c>
    </row>
    <row r="456">
      <c r="A456" s="9" t="str">
        <f>HYPERLINK("https://docs.google.com/spreadsheets/d/1y7awzkkkaNlh7XKjc44AGriTvqB9H3pVz8cFLyIYdbo/edit?usp=sharing","Lindsey Ogle")</f>
        <v>Lindsey Ogle</v>
      </c>
      <c r="B456" s="10">
        <v>28.0</v>
      </c>
      <c r="C456" s="10">
        <v>6.0</v>
      </c>
      <c r="D456" s="10">
        <v>6.0</v>
      </c>
      <c r="E456" s="11">
        <v>1.0</v>
      </c>
      <c r="F456" s="12">
        <v>0.0131</v>
      </c>
      <c r="G456" s="10">
        <v>14.0</v>
      </c>
      <c r="H456" s="10">
        <v>2.0</v>
      </c>
      <c r="I456" s="10" t="s">
        <v>42</v>
      </c>
      <c r="J456" s="10" t="s">
        <v>60</v>
      </c>
      <c r="K456" s="10" t="s">
        <v>91</v>
      </c>
      <c r="L456" s="13">
        <v>5.0</v>
      </c>
      <c r="M456" s="13">
        <v>4.0</v>
      </c>
      <c r="N456" s="13" t="s">
        <v>23</v>
      </c>
      <c r="O456" s="13">
        <v>1.0</v>
      </c>
      <c r="P456" s="10" t="s">
        <v>23</v>
      </c>
      <c r="Q456" s="10" t="s">
        <v>23</v>
      </c>
      <c r="R456" s="10"/>
      <c r="S456" s="10" t="s">
        <v>23</v>
      </c>
      <c r="T456" s="10"/>
      <c r="U456" s="10" t="s">
        <v>64</v>
      </c>
    </row>
    <row r="457">
      <c r="A457" s="9" t="str">
        <f>HYPERLINK("https://docs.google.com/spreadsheets/d/1CcEdjXKuhm6HmXecNbnscxpFab1HRQEjKSDga6QxqAU/edit?usp=sharing","Krista Klumpp")</f>
        <v>Krista Klumpp</v>
      </c>
      <c r="B457" s="10">
        <v>22.0</v>
      </c>
      <c r="C457" s="10">
        <v>6.0</v>
      </c>
      <c r="D457" s="10">
        <v>6.0</v>
      </c>
      <c r="E457" s="11">
        <v>1.0</v>
      </c>
      <c r="F457" s="12">
        <v>0.0142</v>
      </c>
      <c r="G457" s="10">
        <v>14.0</v>
      </c>
      <c r="H457" s="10">
        <v>3.0</v>
      </c>
      <c r="I457" s="10" t="s">
        <v>42</v>
      </c>
      <c r="J457" s="10" t="s">
        <v>60</v>
      </c>
      <c r="K457" s="10" t="s">
        <v>113</v>
      </c>
      <c r="L457" s="13">
        <v>3.0</v>
      </c>
      <c r="M457" s="13">
        <v>3.0</v>
      </c>
      <c r="N457" s="13" t="s">
        <v>23</v>
      </c>
      <c r="O457" s="13">
        <v>2.0</v>
      </c>
      <c r="P457" s="13" t="s">
        <v>23</v>
      </c>
      <c r="Q457" s="13">
        <v>1.0</v>
      </c>
      <c r="R457" s="13"/>
      <c r="S457" s="10" t="s">
        <v>23</v>
      </c>
      <c r="T457" s="10"/>
      <c r="U457" s="10" t="s">
        <v>23</v>
      </c>
    </row>
    <row r="458">
      <c r="A458" s="9" t="str">
        <f>HYPERLINK("https://docs.google.com/spreadsheets/d/1ReMaq-fM8zzflOjjrMrgnxEsdZxPIPIJqiZ9cCLO3cE/edit?usp=sharing","Sarah Dawson")</f>
        <v>Sarah Dawson</v>
      </c>
      <c r="B458" s="10">
        <v>25.0</v>
      </c>
      <c r="C458" s="10">
        <v>6.0</v>
      </c>
      <c r="D458" s="10">
        <v>5.0</v>
      </c>
      <c r="E458" s="11">
        <v>1.2</v>
      </c>
      <c r="F458" s="12">
        <v>0.0138</v>
      </c>
      <c r="G458" s="10">
        <v>13.0</v>
      </c>
      <c r="H458" s="10">
        <v>2.0</v>
      </c>
      <c r="I458" s="10" t="s">
        <v>42</v>
      </c>
      <c r="J458" s="10" t="s">
        <v>60</v>
      </c>
      <c r="K458" s="10" t="s">
        <v>91</v>
      </c>
      <c r="L458" s="13">
        <v>4.0</v>
      </c>
      <c r="M458" s="13">
        <v>4.0</v>
      </c>
      <c r="N458" s="13" t="s">
        <v>23</v>
      </c>
      <c r="O458" s="13">
        <v>1.0</v>
      </c>
      <c r="P458" s="10" t="s">
        <v>23</v>
      </c>
      <c r="Q458" s="10" t="s">
        <v>23</v>
      </c>
      <c r="R458" s="10"/>
      <c r="S458" s="10" t="s">
        <v>23</v>
      </c>
      <c r="T458" s="10"/>
      <c r="U458" s="10" t="s">
        <v>23</v>
      </c>
    </row>
    <row r="459">
      <c r="A459" s="9" t="str">
        <f>HYPERLINK("https://docs.google.com/spreadsheets/d/1EsGJrNyA7pLwFUlZ6WfOkbnPz58Cle9N9c6epQSDRVA/edit?usp=sharing","Monica Padilla")</f>
        <v>Monica Padilla</v>
      </c>
      <c r="B459" s="10">
        <v>31.0</v>
      </c>
      <c r="C459" s="10">
        <v>6.0</v>
      </c>
      <c r="D459" s="10">
        <v>5.0</v>
      </c>
      <c r="E459" s="11">
        <v>1.2</v>
      </c>
      <c r="F459" s="12">
        <v>0.0137</v>
      </c>
      <c r="G459" s="10">
        <v>13.0</v>
      </c>
      <c r="H459" s="10">
        <v>1.0</v>
      </c>
      <c r="I459" s="10" t="s">
        <v>42</v>
      </c>
      <c r="J459" s="10" t="s">
        <v>60</v>
      </c>
      <c r="K459" s="10" t="s">
        <v>103</v>
      </c>
      <c r="L459" s="13">
        <v>2.0</v>
      </c>
      <c r="M459" s="13">
        <v>4.0</v>
      </c>
      <c r="N459" s="13" t="s">
        <v>23</v>
      </c>
      <c r="O459" s="13">
        <v>1.0</v>
      </c>
      <c r="P459" s="10" t="s">
        <v>23</v>
      </c>
      <c r="Q459" s="10" t="s">
        <v>23</v>
      </c>
      <c r="R459" s="10"/>
      <c r="S459" s="10" t="s">
        <v>23</v>
      </c>
      <c r="T459" s="10"/>
      <c r="U459" s="10" t="s">
        <v>23</v>
      </c>
    </row>
    <row r="460">
      <c r="A460" s="9" t="str">
        <f>HYPERLINK("https://docs.google.com/spreadsheets/d/1v6gXy2rHfH0CkzT8zUZyZm6b-WimbnBspkh1B5hksu4/edit?usp=sharing","Monica Culpepper")</f>
        <v>Monica Culpepper</v>
      </c>
      <c r="B460" s="10">
        <v>24.0</v>
      </c>
      <c r="C460" s="10">
        <v>6.0</v>
      </c>
      <c r="D460" s="10">
        <v>5.0</v>
      </c>
      <c r="E460" s="11">
        <v>1.2</v>
      </c>
      <c r="F460" s="12">
        <v>0.0157</v>
      </c>
      <c r="G460" s="10">
        <v>14.0</v>
      </c>
      <c r="H460" s="10">
        <v>1.0</v>
      </c>
      <c r="I460" s="10" t="s">
        <v>42</v>
      </c>
      <c r="J460" s="10" t="s">
        <v>60</v>
      </c>
      <c r="K460" s="10" t="s">
        <v>114</v>
      </c>
      <c r="L460" s="13">
        <v>2.0</v>
      </c>
      <c r="M460" s="13">
        <v>2.0</v>
      </c>
      <c r="N460" s="13" t="s">
        <v>23</v>
      </c>
      <c r="O460" s="13">
        <v>2.0</v>
      </c>
      <c r="P460" s="10" t="s">
        <v>23</v>
      </c>
      <c r="Q460" s="10" t="s">
        <v>23</v>
      </c>
      <c r="R460" s="10"/>
      <c r="S460" s="10" t="s">
        <v>23</v>
      </c>
      <c r="T460" s="10"/>
      <c r="U460" s="10" t="s">
        <v>23</v>
      </c>
    </row>
    <row r="461">
      <c r="A461" s="9" t="str">
        <f>HYPERLINK("https://docs.google.com/spreadsheets/d/1iNFGyKFcJm-tPp7Dg94yi7mHCDbJssmAD_PiaDM_tAE/edit?usp=sharing","Kelley Wentworth")</f>
        <v>Kelley Wentworth</v>
      </c>
      <c r="B461" s="10">
        <v>29.0</v>
      </c>
      <c r="C461" s="10">
        <v>6.0</v>
      </c>
      <c r="D461" s="10">
        <v>5.0</v>
      </c>
      <c r="E461" s="11">
        <v>1.2</v>
      </c>
      <c r="F461" s="12">
        <v>0.0135</v>
      </c>
      <c r="G461" s="10">
        <v>13.0</v>
      </c>
      <c r="H461" s="10">
        <v>1.0</v>
      </c>
      <c r="I461" s="10" t="s">
        <v>42</v>
      </c>
      <c r="J461" s="10" t="s">
        <v>60</v>
      </c>
      <c r="K461" s="10" t="s">
        <v>114</v>
      </c>
      <c r="L461" s="23">
        <v>3.0</v>
      </c>
      <c r="M461" s="23">
        <v>3.0</v>
      </c>
      <c r="N461" s="23" t="s">
        <v>23</v>
      </c>
      <c r="O461" s="23">
        <v>2.0</v>
      </c>
      <c r="P461" s="23" t="s">
        <v>23</v>
      </c>
      <c r="Q461" s="23" t="s">
        <v>23</v>
      </c>
      <c r="R461" s="23"/>
      <c r="S461" s="13" t="s">
        <v>23</v>
      </c>
      <c r="T461" s="13"/>
      <c r="U461" s="10" t="s">
        <v>23</v>
      </c>
    </row>
    <row r="462">
      <c r="A462" s="9" t="str">
        <f>HYPERLINK("https://docs.google.com/spreadsheets/d/1ReMaq-fM8zzflOjjrMrgnxEsdZxPIPIJqiZ9cCLO3cE/edit?usp=sharing","Dana Lambert")</f>
        <v>Dana Lambert</v>
      </c>
      <c r="B462" s="10">
        <v>25.0</v>
      </c>
      <c r="C462" s="10">
        <v>6.0</v>
      </c>
      <c r="D462" s="10">
        <v>5.0</v>
      </c>
      <c r="E462" s="11">
        <v>1.2</v>
      </c>
      <c r="F462" s="12">
        <v>0.0138</v>
      </c>
      <c r="G462" s="10">
        <v>12.0</v>
      </c>
      <c r="H462" s="10">
        <v>1.0</v>
      </c>
      <c r="I462" s="10" t="s">
        <v>42</v>
      </c>
      <c r="J462" s="10" t="s">
        <v>60</v>
      </c>
      <c r="K462" s="10" t="s">
        <v>114</v>
      </c>
      <c r="L462" s="13">
        <v>4.0</v>
      </c>
      <c r="M462" s="13">
        <v>4.0</v>
      </c>
      <c r="N462" s="13" t="s">
        <v>23</v>
      </c>
      <c r="O462" s="13" t="s">
        <v>23</v>
      </c>
      <c r="P462" s="10" t="s">
        <v>23</v>
      </c>
      <c r="Q462" s="10" t="s">
        <v>23</v>
      </c>
      <c r="R462" s="10"/>
      <c r="S462" s="10" t="s">
        <v>23</v>
      </c>
      <c r="T462" s="10"/>
      <c r="U462" s="10" t="s">
        <v>64</v>
      </c>
    </row>
    <row r="463">
      <c r="A463" s="15" t="str">
        <f>HYPERLINK("https://docs.google.com/spreadsheets/d/1ZajpFwOHrMmupCcACeLhLTzPOwhTrjKRR1FJtUgeLww/edit?usp=sharing","Ciandre ""CeCe"" Taylor")</f>
        <v>Ciandre "CeCe" Taylor</v>
      </c>
      <c r="B463" s="13">
        <v>33.0</v>
      </c>
      <c r="C463" s="13">
        <v>6.0</v>
      </c>
      <c r="D463" s="13">
        <v>5.0</v>
      </c>
      <c r="E463" s="16">
        <v>1.2</v>
      </c>
      <c r="F463" s="17">
        <v>0.0138</v>
      </c>
      <c r="G463" s="13">
        <v>15.0</v>
      </c>
      <c r="H463" s="13">
        <v>2.0</v>
      </c>
      <c r="I463" s="13" t="s">
        <v>42</v>
      </c>
      <c r="J463" s="13" t="s">
        <v>60</v>
      </c>
      <c r="K463" s="13" t="s">
        <v>103</v>
      </c>
      <c r="L463" s="13">
        <v>2.0</v>
      </c>
      <c r="M463" s="13">
        <v>1.0</v>
      </c>
      <c r="N463" s="13" t="s">
        <v>23</v>
      </c>
      <c r="O463" s="13">
        <v>4.0</v>
      </c>
      <c r="P463" s="13" t="s">
        <v>23</v>
      </c>
      <c r="Q463" s="13" t="s">
        <v>23</v>
      </c>
      <c r="R463" s="13"/>
      <c r="S463" s="13" t="s">
        <v>23</v>
      </c>
      <c r="T463" s="13" t="s">
        <v>23</v>
      </c>
      <c r="U463" s="13" t="s">
        <v>23</v>
      </c>
    </row>
    <row r="464">
      <c r="A464" s="9" t="str">
        <f>HYPERLINK("https://docs.google.com/spreadsheets/d/1OvIOVR4AMBMcafVt9o6KEur-eEFhew1kw_KUv3DV3Xs/edit?usp=sharing","Mark Caruso")</f>
        <v>Mark Caruso</v>
      </c>
      <c r="B464" s="10">
        <v>23.0</v>
      </c>
      <c r="C464" s="10">
        <v>6.0</v>
      </c>
      <c r="D464" s="10">
        <v>4.0</v>
      </c>
      <c r="E464" s="11">
        <v>1.5</v>
      </c>
      <c r="F464" s="12">
        <v>0.015</v>
      </c>
      <c r="G464" s="10">
        <v>9.0</v>
      </c>
      <c r="H464" s="10">
        <v>2.0</v>
      </c>
      <c r="I464" s="10" t="s">
        <v>42</v>
      </c>
      <c r="J464" s="10" t="s">
        <v>60</v>
      </c>
      <c r="K464" s="10" t="s">
        <v>128</v>
      </c>
      <c r="L464" s="13">
        <v>2.0</v>
      </c>
      <c r="M464" s="13">
        <v>1.0</v>
      </c>
      <c r="N464" s="13" t="s">
        <v>23</v>
      </c>
      <c r="O464" s="13">
        <v>2.0</v>
      </c>
      <c r="P464" s="13" t="s">
        <v>23</v>
      </c>
      <c r="Q464" s="13">
        <v>1.0</v>
      </c>
      <c r="R464" s="13"/>
      <c r="S464" s="10" t="s">
        <v>23</v>
      </c>
      <c r="T464" s="10"/>
      <c r="U464" s="10" t="s">
        <v>23</v>
      </c>
    </row>
    <row r="465">
      <c r="A465" s="15" t="str">
        <f>HYPERLINK("https://docs.google.com/spreadsheets/d/1t379i2CYDM1ZVdZZy_Nj2m3ht6Sp4J68-xZ2v4-PIMo/edit?usp=sharing","Caleb Reynolds")</f>
        <v>Caleb Reynolds</v>
      </c>
      <c r="B465" s="13">
        <v>32.0</v>
      </c>
      <c r="C465" s="13">
        <v>6.0</v>
      </c>
      <c r="D465" s="13">
        <v>4.0</v>
      </c>
      <c r="E465" s="16">
        <v>1.5</v>
      </c>
      <c r="F465" s="17">
        <v>0.0121</v>
      </c>
      <c r="G465" s="13">
        <v>9.0</v>
      </c>
      <c r="H465" s="13">
        <v>1.0</v>
      </c>
      <c r="I465" s="13" t="s">
        <v>42</v>
      </c>
      <c r="J465" s="13" t="s">
        <v>60</v>
      </c>
      <c r="K465" s="13" t="s">
        <v>113</v>
      </c>
      <c r="L465" s="13">
        <v>4.0</v>
      </c>
      <c r="M465" s="13">
        <v>3.0</v>
      </c>
      <c r="N465" s="13" t="s">
        <v>23</v>
      </c>
      <c r="O465" s="13" t="s">
        <v>23</v>
      </c>
      <c r="P465" s="13" t="s">
        <v>23</v>
      </c>
      <c r="Q465" s="13" t="s">
        <v>23</v>
      </c>
      <c r="R465" s="13"/>
      <c r="S465" s="13" t="s">
        <v>23</v>
      </c>
      <c r="T465" s="13"/>
      <c r="U465" s="13" t="s">
        <v>92</v>
      </c>
    </row>
    <row r="466">
      <c r="A466" s="9" t="str">
        <f>HYPERLINK("https://docs.google.com/spreadsheets/d/1HA0vQC0CSnQtVc8u58vwNd3sIFCc79SKVqM1abMG1hI/edit?usp=sharing","Nina Poersch")</f>
        <v>Nina Poersch</v>
      </c>
      <c r="B466" s="10">
        <v>30.0</v>
      </c>
      <c r="C466" s="10">
        <v>6.0</v>
      </c>
      <c r="D466" s="10">
        <v>3.0</v>
      </c>
      <c r="E466" s="11">
        <v>2.0</v>
      </c>
      <c r="F466" s="12">
        <v>0.0131</v>
      </c>
      <c r="G466" s="10">
        <v>8.0</v>
      </c>
      <c r="H466" s="10" t="s">
        <v>23</v>
      </c>
      <c r="I466" s="10" t="s">
        <v>42</v>
      </c>
      <c r="J466" s="10" t="s">
        <v>60</v>
      </c>
      <c r="K466" s="10" t="s">
        <v>136</v>
      </c>
      <c r="L466" s="13">
        <v>1.0</v>
      </c>
      <c r="M466" s="13">
        <v>1.0</v>
      </c>
      <c r="N466" s="13" t="s">
        <v>23</v>
      </c>
      <c r="O466" s="13">
        <v>2.0</v>
      </c>
      <c r="P466" s="10" t="s">
        <v>23</v>
      </c>
      <c r="Q466" s="10" t="s">
        <v>23</v>
      </c>
      <c r="R466" s="10"/>
      <c r="S466" s="10" t="s">
        <v>23</v>
      </c>
      <c r="T466" s="10"/>
      <c r="U466" s="10" t="s">
        <v>23</v>
      </c>
    </row>
    <row r="467">
      <c r="A467" s="9" t="str">
        <f>HYPERLINK("https://docs.google.com/spreadsheets/d/1w0I5RoQ7uENhUG1ncC5V9B3b6BQapplx180-f9F9s4w/edit?usp=sharing","Daniel Lue")</f>
        <v>Daniel Lue</v>
      </c>
      <c r="B467" s="10">
        <v>6.0</v>
      </c>
      <c r="C467" s="10">
        <v>6.0</v>
      </c>
      <c r="D467" s="10">
        <v>3.0</v>
      </c>
      <c r="E467" s="11">
        <v>2.0</v>
      </c>
      <c r="F467" s="12">
        <v>0.0123</v>
      </c>
      <c r="G467" s="10">
        <v>9.0</v>
      </c>
      <c r="H467" s="10">
        <v>1.0</v>
      </c>
      <c r="I467" s="10" t="s">
        <v>42</v>
      </c>
      <c r="J467" s="10" t="s">
        <v>60</v>
      </c>
      <c r="K467" s="10" t="s">
        <v>137</v>
      </c>
      <c r="L467" s="13" t="s">
        <v>23</v>
      </c>
      <c r="M467" s="13">
        <v>1.0</v>
      </c>
      <c r="N467" s="13" t="s">
        <v>23</v>
      </c>
      <c r="O467" s="13">
        <v>2.0</v>
      </c>
      <c r="P467" s="10" t="s">
        <v>23</v>
      </c>
      <c r="Q467" s="10" t="s">
        <v>23</v>
      </c>
      <c r="R467" s="10"/>
      <c r="S467" s="10" t="s">
        <v>23</v>
      </c>
      <c r="T467" s="10"/>
      <c r="U467" s="10" t="s">
        <v>23</v>
      </c>
    </row>
    <row r="468">
      <c r="A468" s="9" t="str">
        <f>HYPERLINK("https://docs.google.com/spreadsheets/d/1y7awzkkkaNlh7XKjc44AGriTvqB9H3pVz8cFLyIYdbo/edit?usp=sharing","Brice Johnston")</f>
        <v>Brice Johnston</v>
      </c>
      <c r="B468" s="10">
        <v>28.0</v>
      </c>
      <c r="C468" s="10">
        <v>6.0</v>
      </c>
      <c r="D468" s="10">
        <v>3.0</v>
      </c>
      <c r="E468" s="11">
        <v>2.0</v>
      </c>
      <c r="F468" s="12">
        <v>0.0131</v>
      </c>
      <c r="G468" s="10">
        <v>8.0</v>
      </c>
      <c r="H468" s="10" t="s">
        <v>23</v>
      </c>
      <c r="I468" s="10" t="s">
        <v>42</v>
      </c>
      <c r="J468" s="10" t="s">
        <v>60</v>
      </c>
      <c r="K468" s="10" t="s">
        <v>136</v>
      </c>
      <c r="L468" s="13">
        <v>2.0</v>
      </c>
      <c r="M468" s="13">
        <v>2.0</v>
      </c>
      <c r="N468" s="13" t="s">
        <v>23</v>
      </c>
      <c r="O468" s="13">
        <v>1.0</v>
      </c>
      <c r="P468" s="10" t="s">
        <v>23</v>
      </c>
      <c r="Q468" s="10" t="s">
        <v>23</v>
      </c>
      <c r="R468" s="10"/>
      <c r="S468" s="10" t="s">
        <v>23</v>
      </c>
      <c r="T468" s="10"/>
      <c r="U468" s="10" t="s">
        <v>23</v>
      </c>
    </row>
    <row r="469">
      <c r="A469" s="15" t="str">
        <f>HYPERLINK("https://docs.google.com/spreadsheets/d/1sWOJC8eB6rVdXdWiWMgfbfgw2325jIh1ODKxyaCmSGc/edit?usp=sharing","Brianna Varela")</f>
        <v>Brianna Varela</v>
      </c>
      <c r="B469" s="13">
        <v>11.0</v>
      </c>
      <c r="C469" s="13">
        <v>6.0</v>
      </c>
      <c r="D469" s="13">
        <v>3.0</v>
      </c>
      <c r="E469" s="16">
        <v>2.0</v>
      </c>
      <c r="F469" s="17">
        <v>0.0136</v>
      </c>
      <c r="G469" s="13">
        <v>8.0</v>
      </c>
      <c r="H469" s="13" t="s">
        <v>23</v>
      </c>
      <c r="I469" s="13" t="s">
        <v>42</v>
      </c>
      <c r="J469" s="13" t="s">
        <v>60</v>
      </c>
      <c r="K469" s="13" t="s">
        <v>136</v>
      </c>
      <c r="L469" s="13" t="s">
        <v>23</v>
      </c>
      <c r="M469" s="13">
        <v>1.0</v>
      </c>
      <c r="N469" s="13" t="s">
        <v>23</v>
      </c>
      <c r="O469" s="13">
        <v>2.0</v>
      </c>
      <c r="P469" s="13" t="s">
        <v>23</v>
      </c>
      <c r="Q469" s="13" t="s">
        <v>23</v>
      </c>
      <c r="R469" s="13"/>
      <c r="S469" s="13" t="s">
        <v>23</v>
      </c>
      <c r="T469" s="13" t="s">
        <v>23</v>
      </c>
      <c r="U469" s="13" t="s">
        <v>23</v>
      </c>
    </row>
    <row r="470">
      <c r="A470" s="15" t="str">
        <f>HYPERLINK("https://docs.google.com/spreadsheets/d/1Hf_PbZTXAuooCoiF7c3Bz80t5-zCjdWHF8wQ_HyodNs/edit?usp=sharing","Morgan Ricke")</f>
        <v>Morgan Ricke</v>
      </c>
      <c r="B470" s="13">
        <v>36.0</v>
      </c>
      <c r="C470" s="13">
        <v>6.0</v>
      </c>
      <c r="D470" s="13">
        <v>3.0</v>
      </c>
      <c r="E470" s="16">
        <v>2.0</v>
      </c>
      <c r="F470" s="17">
        <v>0.0153</v>
      </c>
      <c r="G470" s="13">
        <v>9.0</v>
      </c>
      <c r="H470" s="13">
        <v>1.0</v>
      </c>
      <c r="I470" s="13" t="s">
        <v>42</v>
      </c>
      <c r="J470" s="13" t="s">
        <v>60</v>
      </c>
      <c r="K470" s="13" t="s">
        <v>124</v>
      </c>
      <c r="L470" s="13">
        <v>1.0</v>
      </c>
      <c r="M470" s="13">
        <v>2.0</v>
      </c>
      <c r="N470" s="13" t="s">
        <v>23</v>
      </c>
      <c r="O470" s="13">
        <v>1.0</v>
      </c>
      <c r="P470" s="13" t="s">
        <v>23</v>
      </c>
      <c r="Q470" s="13" t="s">
        <v>23</v>
      </c>
      <c r="R470" s="13"/>
      <c r="S470" s="13" t="s">
        <v>23</v>
      </c>
      <c r="T470" s="13">
        <v>1.0</v>
      </c>
      <c r="U470" s="13" t="s">
        <v>23</v>
      </c>
    </row>
    <row r="471">
      <c r="A471" s="9" t="str">
        <f>HYPERLINK("https://docs.google.com/spreadsheets/d/1v6gXy2rHfH0CkzT8zUZyZm6b-WimbnBspkh1B5hksu4/edit?usp=sharing","Nina Acosta")</f>
        <v>Nina Acosta</v>
      </c>
      <c r="B471" s="10">
        <v>24.0</v>
      </c>
      <c r="C471" s="10">
        <v>6.0</v>
      </c>
      <c r="D471" s="10">
        <v>2.0</v>
      </c>
      <c r="E471" s="11">
        <v>3.0</v>
      </c>
      <c r="F471" s="12">
        <v>0.0157</v>
      </c>
      <c r="G471" s="10">
        <v>5.0</v>
      </c>
      <c r="H471" s="10" t="s">
        <v>23</v>
      </c>
      <c r="I471" s="10" t="s">
        <v>42</v>
      </c>
      <c r="J471" s="10" t="s">
        <v>60</v>
      </c>
      <c r="K471" s="10" t="s">
        <v>128</v>
      </c>
      <c r="L471" s="13" t="s">
        <v>23</v>
      </c>
      <c r="M471" s="13" t="s">
        <v>23</v>
      </c>
      <c r="N471" s="13" t="s">
        <v>23</v>
      </c>
      <c r="O471" s="13">
        <v>1.0</v>
      </c>
      <c r="P471" s="10" t="s">
        <v>23</v>
      </c>
      <c r="Q471" s="10" t="s">
        <v>23</v>
      </c>
      <c r="R471" s="10"/>
      <c r="S471" s="10" t="s">
        <v>23</v>
      </c>
      <c r="T471" s="10"/>
      <c r="U471" s="10" t="s">
        <v>23</v>
      </c>
    </row>
    <row r="472">
      <c r="A472" s="15" t="str">
        <f>HYPERLINK("https://docs.google.com/spreadsheets/d/1ZajpFwOHrMmupCcACeLhLTzPOwhTrjKRR1FJtUgeLww/edit?usp=sharing","Mari Takahashi")</f>
        <v>Mari Takahashi</v>
      </c>
      <c r="B472" s="13">
        <v>33.0</v>
      </c>
      <c r="C472" s="13">
        <v>6.0</v>
      </c>
      <c r="D472" s="13">
        <v>2.0</v>
      </c>
      <c r="E472" s="16">
        <v>3.0</v>
      </c>
      <c r="F472" s="17">
        <v>0.0138</v>
      </c>
      <c r="G472" s="13">
        <v>7.0</v>
      </c>
      <c r="H472" s="13" t="s">
        <v>23</v>
      </c>
      <c r="I472" s="13" t="s">
        <v>42</v>
      </c>
      <c r="J472" s="13" t="s">
        <v>60</v>
      </c>
      <c r="K472" s="13" t="s">
        <v>131</v>
      </c>
      <c r="L472" s="13">
        <v>1.0</v>
      </c>
      <c r="M472" s="13">
        <v>1.0</v>
      </c>
      <c r="N472" s="13" t="s">
        <v>23</v>
      </c>
      <c r="O472" s="13">
        <v>1.0</v>
      </c>
      <c r="P472" s="13" t="s">
        <v>23</v>
      </c>
      <c r="Q472" s="13" t="s">
        <v>23</v>
      </c>
      <c r="R472" s="13"/>
      <c r="S472" s="13" t="s">
        <v>23</v>
      </c>
      <c r="T472" s="13" t="s">
        <v>23</v>
      </c>
      <c r="U472" s="13" t="s">
        <v>23</v>
      </c>
    </row>
    <row r="473">
      <c r="A473" s="9" t="str">
        <f>HYPERLINK("https://docs.google.com/spreadsheets/d/1yi_HtvN4TS5uRWCCFJg5RFaoouiIIe8CAtY_XnqP6iM/edit?usp=sharing","Dolly Neely")</f>
        <v>Dolly Neely</v>
      </c>
      <c r="B473" s="10">
        <v>9.0</v>
      </c>
      <c r="C473" s="10">
        <v>6.0</v>
      </c>
      <c r="D473" s="10">
        <v>2.0</v>
      </c>
      <c r="E473" s="11">
        <v>3.0</v>
      </c>
      <c r="F473" s="17">
        <v>0.0143</v>
      </c>
      <c r="G473" s="10">
        <v>6.0</v>
      </c>
      <c r="H473" s="10" t="s">
        <v>23</v>
      </c>
      <c r="I473" s="10" t="s">
        <v>42</v>
      </c>
      <c r="J473" s="10" t="s">
        <v>60</v>
      </c>
      <c r="K473" s="10" t="s">
        <v>128</v>
      </c>
      <c r="L473" s="10">
        <v>2.0</v>
      </c>
      <c r="M473" s="10">
        <v>1.0</v>
      </c>
      <c r="N473" s="27"/>
      <c r="O473" s="10">
        <v>1.0</v>
      </c>
      <c r="P473" s="10" t="s">
        <v>23</v>
      </c>
      <c r="Q473" s="10" t="s">
        <v>23</v>
      </c>
      <c r="R473" s="10"/>
      <c r="S473" s="10" t="s">
        <v>23</v>
      </c>
      <c r="T473" s="10"/>
      <c r="U473" s="10" t="s">
        <v>23</v>
      </c>
    </row>
    <row r="474">
      <c r="A474" s="9" t="str">
        <f>HYPERLINK("https://docs.google.com/spreadsheets/d/1nYlVL4RxK2ZUH-a4MfKCalHyEjDRWz2ZumhyoaYsjTE/edit?usp=sharing","Kelly Shinn")</f>
        <v>Kelly Shinn</v>
      </c>
      <c r="B474" s="10">
        <v>21.0</v>
      </c>
      <c r="C474" s="10">
        <v>5.0</v>
      </c>
      <c r="D474" s="10">
        <v>11.0</v>
      </c>
      <c r="E474" s="11">
        <v>0.45</v>
      </c>
      <c r="F474" s="12">
        <v>0.012</v>
      </c>
      <c r="G474" s="10">
        <v>28.0</v>
      </c>
      <c r="H474" s="10">
        <v>9.0</v>
      </c>
      <c r="I474" s="10" t="s">
        <v>9</v>
      </c>
      <c r="J474" s="10" t="s">
        <v>46</v>
      </c>
      <c r="K474" s="10" t="s">
        <v>71</v>
      </c>
      <c r="L474" s="13">
        <v>6.0</v>
      </c>
      <c r="M474" s="13">
        <v>4.0</v>
      </c>
      <c r="N474" s="13" t="s">
        <v>23</v>
      </c>
      <c r="O474" s="13">
        <v>6.0</v>
      </c>
      <c r="P474" s="10" t="s">
        <v>23</v>
      </c>
      <c r="Q474" s="10" t="s">
        <v>23</v>
      </c>
      <c r="R474" s="10"/>
      <c r="S474" s="10" t="s">
        <v>23</v>
      </c>
      <c r="T474" s="10"/>
      <c r="U474" s="10" t="s">
        <v>64</v>
      </c>
    </row>
    <row r="475">
      <c r="A475" s="15" t="str">
        <f>HYPERLINK("https://docs.google.com/spreadsheets/d/1q-5bbq9txg93Y0eUACxRPTIN5PuRjeDVpNDfeXEw4iE/edit?usp=sharing","John ""JP"" Hilsabeck")</f>
        <v>John "JP" Hilsabeck</v>
      </c>
      <c r="B475" s="13">
        <v>35.0</v>
      </c>
      <c r="C475" s="13">
        <v>5.0</v>
      </c>
      <c r="D475" s="13">
        <v>10.0</v>
      </c>
      <c r="E475" s="16">
        <v>0.5</v>
      </c>
      <c r="F475" s="17">
        <v>0.0116</v>
      </c>
      <c r="G475" s="13">
        <v>27.0</v>
      </c>
      <c r="H475" s="13">
        <v>6.0</v>
      </c>
      <c r="I475" s="13" t="s">
        <v>9</v>
      </c>
      <c r="J475" s="13" t="s">
        <v>43</v>
      </c>
      <c r="K475" s="13" t="s">
        <v>83</v>
      </c>
      <c r="L475" s="13">
        <v>7.0</v>
      </c>
      <c r="M475" s="13">
        <v>3.0</v>
      </c>
      <c r="N475" s="13" t="s">
        <v>23</v>
      </c>
      <c r="O475" s="13">
        <v>7.0</v>
      </c>
      <c r="P475" s="13" t="s">
        <v>23</v>
      </c>
      <c r="Q475" s="13" t="s">
        <v>23</v>
      </c>
      <c r="R475" s="13"/>
      <c r="S475" s="13" t="s">
        <v>23</v>
      </c>
      <c r="T475" s="13" t="s">
        <v>23</v>
      </c>
      <c r="U475" s="13" t="s">
        <v>23</v>
      </c>
    </row>
    <row r="476">
      <c r="A476" s="9" t="str">
        <f>HYPERLINK("https://docs.google.com/spreadsheets/d/1EsGJrNyA7pLwFUlZ6WfOkbnPz58Cle9N9c6epQSDRVA/edit?usp=sharing","Kelly Wiglesworth")</f>
        <v>Kelly Wiglesworth</v>
      </c>
      <c r="B476" s="10">
        <v>31.0</v>
      </c>
      <c r="C476" s="10">
        <v>5.0</v>
      </c>
      <c r="D476" s="10">
        <v>9.0</v>
      </c>
      <c r="E476" s="11">
        <v>0.56</v>
      </c>
      <c r="F476" s="12">
        <v>0.0114</v>
      </c>
      <c r="G476" s="10">
        <v>24.0</v>
      </c>
      <c r="H476" s="10">
        <v>6.0</v>
      </c>
      <c r="I476" s="10" t="s">
        <v>9</v>
      </c>
      <c r="J476" s="10" t="s">
        <v>43</v>
      </c>
      <c r="K476" s="10" t="s">
        <v>69</v>
      </c>
      <c r="L476" s="13">
        <v>4.0</v>
      </c>
      <c r="M476" s="13">
        <v>2.0</v>
      </c>
      <c r="N476" s="13" t="s">
        <v>23</v>
      </c>
      <c r="O476" s="13">
        <v>7.0</v>
      </c>
      <c r="P476" s="10" t="s">
        <v>23</v>
      </c>
      <c r="Q476" s="10" t="s">
        <v>23</v>
      </c>
      <c r="R476" s="10"/>
      <c r="S476" s="10" t="s">
        <v>23</v>
      </c>
      <c r="T476" s="10"/>
      <c r="U476" s="10" t="s">
        <v>23</v>
      </c>
    </row>
    <row r="477">
      <c r="A477" s="9" t="str">
        <f>HYPERLINK("https://docs.google.com/spreadsheets/d/1OvIOVR4AMBMcafVt9o6KEur-eEFhew1kw_KUv3DV3Xs/edit?usp=sharing","Elyse Umemoto")</f>
        <v>Elyse Umemoto</v>
      </c>
      <c r="B477" s="10">
        <v>23.0</v>
      </c>
      <c r="C477" s="10">
        <v>5.0</v>
      </c>
      <c r="D477" s="10">
        <v>6.0</v>
      </c>
      <c r="E477" s="11">
        <v>0.83</v>
      </c>
      <c r="F477" s="12">
        <v>0.0125</v>
      </c>
      <c r="G477" s="10">
        <v>15.0</v>
      </c>
      <c r="H477" s="10">
        <v>3.0</v>
      </c>
      <c r="I477" s="10" t="s">
        <v>42</v>
      </c>
      <c r="J477" s="10" t="s">
        <v>60</v>
      </c>
      <c r="K477" s="10" t="s">
        <v>113</v>
      </c>
      <c r="L477" s="13">
        <v>3.0</v>
      </c>
      <c r="M477" s="13">
        <v>2.0</v>
      </c>
      <c r="N477" s="13" t="s">
        <v>23</v>
      </c>
      <c r="O477" s="13">
        <v>3.0</v>
      </c>
      <c r="P477" s="13" t="s">
        <v>23</v>
      </c>
      <c r="Q477" s="13">
        <v>1.0</v>
      </c>
      <c r="R477" s="13"/>
      <c r="S477" s="10" t="s">
        <v>23</v>
      </c>
      <c r="T477" s="10"/>
      <c r="U477" s="10" t="s">
        <v>23</v>
      </c>
    </row>
    <row r="478">
      <c r="A478" s="15" t="str">
        <f>HYPERLINK("https://docs.google.com/spreadsheets/d/1d8Hzm_QCJnDef8NF_dVYBZLjLjFI3Fl8Yt14m8Zhn8Y/edit?usp=sharing","Willard Smith")</f>
        <v>Willard Smith</v>
      </c>
      <c r="B478" s="13">
        <v>10.0</v>
      </c>
      <c r="C478" s="13">
        <v>5.0</v>
      </c>
      <c r="D478" s="13">
        <v>5.0</v>
      </c>
      <c r="E478" s="16">
        <v>1.0</v>
      </c>
      <c r="F478" s="17">
        <v>0.0117</v>
      </c>
      <c r="G478" s="13">
        <v>12.0</v>
      </c>
      <c r="H478" s="13">
        <v>2.0</v>
      </c>
      <c r="I478" s="13" t="s">
        <v>42</v>
      </c>
      <c r="J478" s="13" t="s">
        <v>60</v>
      </c>
      <c r="K478" s="13" t="s">
        <v>111</v>
      </c>
      <c r="L478" s="13">
        <v>2.0</v>
      </c>
      <c r="M478" s="13">
        <v>4.0</v>
      </c>
      <c r="N478" s="13" t="s">
        <v>23</v>
      </c>
      <c r="O478" s="13">
        <v>1.0</v>
      </c>
      <c r="P478" s="13" t="s">
        <v>23</v>
      </c>
      <c r="Q478" s="13" t="s">
        <v>23</v>
      </c>
      <c r="R478" s="13"/>
      <c r="S478" s="13" t="s">
        <v>23</v>
      </c>
      <c r="T478" s="13" t="s">
        <v>23</v>
      </c>
      <c r="U478" s="13" t="s">
        <v>23</v>
      </c>
    </row>
    <row r="479">
      <c r="A479" s="15" t="str">
        <f>HYPERLINK("https://docs.google.com/spreadsheets/d/1VEbyebFdBtPJKQC_U2uGrW6_v1fn6Hsoz3YYLyCxHR0/edit?usp=sharing","Bobby Mason")</f>
        <v>Bobby Mason</v>
      </c>
      <c r="B479" s="13">
        <v>12.0</v>
      </c>
      <c r="C479" s="13">
        <v>5.0</v>
      </c>
      <c r="D479" s="13">
        <v>5.0</v>
      </c>
      <c r="E479" s="16">
        <v>1.0</v>
      </c>
      <c r="F479" s="17">
        <v>0.0918</v>
      </c>
      <c r="G479" s="13">
        <v>14.0</v>
      </c>
      <c r="H479" s="13">
        <v>1.0</v>
      </c>
      <c r="I479" s="13" t="s">
        <v>42</v>
      </c>
      <c r="J479" s="13" t="s">
        <v>60</v>
      </c>
      <c r="K479" s="13" t="s">
        <v>106</v>
      </c>
      <c r="L479" s="13">
        <v>3.0</v>
      </c>
      <c r="M479" s="13">
        <v>3.0</v>
      </c>
      <c r="N479" s="13" t="s">
        <v>23</v>
      </c>
      <c r="O479" s="13">
        <v>2.0</v>
      </c>
      <c r="P479" s="13" t="s">
        <v>23</v>
      </c>
      <c r="Q479" s="13" t="s">
        <v>23</v>
      </c>
      <c r="R479" s="13"/>
      <c r="S479" s="13" t="s">
        <v>23</v>
      </c>
      <c r="T479" s="13" t="s">
        <v>23</v>
      </c>
      <c r="U479" s="13" t="s">
        <v>23</v>
      </c>
    </row>
    <row r="480">
      <c r="A480" s="15" t="str">
        <f>HYPERLINK("https://docs.google.com/spreadsheets/d/1sWOJC8eB6rVdXdWiWMgfbfgw2325jIh1ODKxyaCmSGc/edit?usp=sharing","Blake Towsley")</f>
        <v>Blake Towsley</v>
      </c>
      <c r="B480" s="13">
        <v>11.0</v>
      </c>
      <c r="C480" s="13">
        <v>5.0</v>
      </c>
      <c r="D480" s="13">
        <v>5.0</v>
      </c>
      <c r="E480" s="16">
        <v>1.0</v>
      </c>
      <c r="F480" s="17">
        <v>0.0113</v>
      </c>
      <c r="G480" s="13">
        <v>14.0</v>
      </c>
      <c r="H480" s="13">
        <v>1.0</v>
      </c>
      <c r="I480" s="13" t="s">
        <v>42</v>
      </c>
      <c r="J480" s="13" t="s">
        <v>60</v>
      </c>
      <c r="K480" s="13" t="s">
        <v>114</v>
      </c>
      <c r="L480" s="13">
        <v>4.0</v>
      </c>
      <c r="M480" s="13">
        <v>3.0</v>
      </c>
      <c r="N480" s="13" t="s">
        <v>23</v>
      </c>
      <c r="O480" s="13">
        <v>2.0</v>
      </c>
      <c r="P480" s="13" t="s">
        <v>23</v>
      </c>
      <c r="Q480" s="13" t="s">
        <v>23</v>
      </c>
      <c r="R480" s="13"/>
      <c r="S480" s="13" t="s">
        <v>23</v>
      </c>
      <c r="T480" s="13" t="s">
        <v>23</v>
      </c>
      <c r="U480" s="13" t="s">
        <v>23</v>
      </c>
    </row>
    <row r="481">
      <c r="A481" s="9" t="str">
        <f>HYPERLINK("https://docs.google.com/spreadsheets/d/1X-5lK1sJCBpvE08rC1VdSsGvayqyrC62cK7W45Q4XX8/edit?usp=sharing","Marissa Peterson")</f>
        <v>Marissa Peterson</v>
      </c>
      <c r="B481" s="10">
        <v>27.0</v>
      </c>
      <c r="C481" s="10">
        <v>5.0</v>
      </c>
      <c r="D481" s="10">
        <v>4.0</v>
      </c>
      <c r="E481" s="11">
        <v>1.25</v>
      </c>
      <c r="F481" s="12">
        <v>0.0115</v>
      </c>
      <c r="G481" s="10">
        <v>9.0</v>
      </c>
      <c r="H481" s="10">
        <v>2.0</v>
      </c>
      <c r="I481" s="10" t="s">
        <v>42</v>
      </c>
      <c r="J481" s="10" t="s">
        <v>60</v>
      </c>
      <c r="K481" s="10" t="s">
        <v>96</v>
      </c>
      <c r="L481" s="13" t="s">
        <v>23</v>
      </c>
      <c r="M481" s="13" t="s">
        <v>23</v>
      </c>
      <c r="N481" s="13" t="s">
        <v>23</v>
      </c>
      <c r="O481" s="13">
        <v>1.0</v>
      </c>
      <c r="P481" s="13" t="s">
        <v>23</v>
      </c>
      <c r="Q481" s="13">
        <v>1.0</v>
      </c>
      <c r="R481" s="13"/>
      <c r="S481" s="10" t="s">
        <v>23</v>
      </c>
      <c r="T481" s="10"/>
      <c r="U481" s="10" t="s">
        <v>23</v>
      </c>
    </row>
    <row r="482">
      <c r="A482" s="15" t="str">
        <f>HYPERLINK("https://docs.google.com/spreadsheets/d/1Hf_PbZTXAuooCoiF7c3Bz80t5-zCjdWHF8wQ_HyodNs/edit?usp=sharing","Brendan Shapiro")</f>
        <v>Brendan Shapiro</v>
      </c>
      <c r="B482" s="13">
        <v>36.0</v>
      </c>
      <c r="C482" s="13">
        <v>5.0</v>
      </c>
      <c r="D482" s="13">
        <v>4.0</v>
      </c>
      <c r="E482" s="16">
        <v>1.25</v>
      </c>
      <c r="F482" s="17">
        <v>0.0127</v>
      </c>
      <c r="G482" s="13">
        <v>12.0</v>
      </c>
      <c r="H482" s="13" t="s">
        <v>23</v>
      </c>
      <c r="I482" s="13" t="s">
        <v>42</v>
      </c>
      <c r="J482" s="13" t="s">
        <v>60</v>
      </c>
      <c r="K482" s="13" t="s">
        <v>96</v>
      </c>
      <c r="L482" s="13">
        <v>2.0</v>
      </c>
      <c r="M482" s="13">
        <v>1.0</v>
      </c>
      <c r="N482" s="13" t="s">
        <v>23</v>
      </c>
      <c r="O482" s="13">
        <v>3.0</v>
      </c>
      <c r="P482" s="13" t="s">
        <v>23</v>
      </c>
      <c r="Q482" s="13" t="s">
        <v>23</v>
      </c>
      <c r="R482" s="13"/>
      <c r="S482" s="13" t="s">
        <v>23</v>
      </c>
      <c r="T482" s="13" t="s">
        <v>23</v>
      </c>
      <c r="U482" s="13" t="s">
        <v>23</v>
      </c>
    </row>
    <row r="483">
      <c r="A483" s="9" t="str">
        <f>HYPERLINK("https://docs.google.com/spreadsheets/d/1OvIOVR4AMBMcafVt9o6KEur-eEFhew1kw_KUv3DV3Xs/edit?usp=sharing","Semhar Tadesse")</f>
        <v>Semhar Tadesse</v>
      </c>
      <c r="B483" s="10">
        <v>23.0</v>
      </c>
      <c r="C483" s="10">
        <v>5.0</v>
      </c>
      <c r="D483" s="10">
        <v>3.0</v>
      </c>
      <c r="E483" s="11">
        <v>1.67</v>
      </c>
      <c r="F483" s="12">
        <v>0.0125</v>
      </c>
      <c r="G483" s="10">
        <v>6.0</v>
      </c>
      <c r="H483" s="10">
        <v>1.0</v>
      </c>
      <c r="I483" s="10" t="s">
        <v>42</v>
      </c>
      <c r="J483" s="10" t="s">
        <v>60</v>
      </c>
      <c r="K483" s="10" t="s">
        <v>138</v>
      </c>
      <c r="L483" s="13">
        <v>1.0</v>
      </c>
      <c r="M483" s="13" t="s">
        <v>23</v>
      </c>
      <c r="N483" s="13" t="s">
        <v>23</v>
      </c>
      <c r="O483" s="13">
        <v>1.0</v>
      </c>
      <c r="P483" s="13" t="s">
        <v>23</v>
      </c>
      <c r="Q483" s="13">
        <v>1.0</v>
      </c>
      <c r="R483" s="13"/>
      <c r="S483" s="10" t="s">
        <v>23</v>
      </c>
      <c r="T483" s="10"/>
      <c r="U483" s="10" t="s">
        <v>23</v>
      </c>
    </row>
    <row r="484">
      <c r="A484" s="9" t="str">
        <f>HYPERLINK("https://docs.google.com/spreadsheets/d/1X-5lK1sJCBpvE08rC1VdSsGvayqyrC62cK7W45Q4XX8/edit?usp=sharing","Rachel Foulger")</f>
        <v>Rachel Foulger</v>
      </c>
      <c r="B484" s="10">
        <v>27.0</v>
      </c>
      <c r="C484" s="10">
        <v>5.0</v>
      </c>
      <c r="D484" s="10">
        <v>3.0</v>
      </c>
      <c r="E484" s="11">
        <v>1.67</v>
      </c>
      <c r="F484" s="12">
        <v>0.0115</v>
      </c>
      <c r="G484" s="10">
        <v>7.0</v>
      </c>
      <c r="H484" s="10">
        <v>1.0</v>
      </c>
      <c r="I484" s="10" t="s">
        <v>42</v>
      </c>
      <c r="J484" s="10" t="s">
        <v>60</v>
      </c>
      <c r="K484" s="10" t="s">
        <v>124</v>
      </c>
      <c r="L484" s="13" t="s">
        <v>23</v>
      </c>
      <c r="M484" s="13" t="s">
        <v>23</v>
      </c>
      <c r="N484" s="13" t="s">
        <v>23</v>
      </c>
      <c r="O484" s="13">
        <v>2.0</v>
      </c>
      <c r="P484" s="13" t="s">
        <v>23</v>
      </c>
      <c r="Q484" s="13">
        <v>1.0</v>
      </c>
      <c r="R484" s="13"/>
      <c r="S484" s="10" t="s">
        <v>23</v>
      </c>
      <c r="T484" s="10"/>
      <c r="U484" s="10" t="s">
        <v>23</v>
      </c>
    </row>
    <row r="485">
      <c r="A485" s="15" t="str">
        <f>HYPERLINK("https://docs.google.com/spreadsheets/d/1VEbyebFdBtPJKQC_U2uGrW6_v1fn6Hsoz3YYLyCxHR0/edit?usp=sharing","Misty Giles")</f>
        <v>Misty Giles</v>
      </c>
      <c r="B485" s="13">
        <v>12.0</v>
      </c>
      <c r="C485" s="13">
        <v>5.0</v>
      </c>
      <c r="D485" s="13">
        <v>3.0</v>
      </c>
      <c r="E485" s="16">
        <v>1.67</v>
      </c>
      <c r="F485" s="17">
        <v>0.1414</v>
      </c>
      <c r="G485" s="13">
        <v>8.0</v>
      </c>
      <c r="H485" s="13">
        <v>1.0</v>
      </c>
      <c r="I485" s="13" t="s">
        <v>42</v>
      </c>
      <c r="J485" s="13" t="s">
        <v>60</v>
      </c>
      <c r="K485" s="13" t="s">
        <v>137</v>
      </c>
      <c r="L485" s="13">
        <v>2.0</v>
      </c>
      <c r="M485" s="13">
        <v>2.0</v>
      </c>
      <c r="N485" s="13" t="s">
        <v>23</v>
      </c>
      <c r="O485" s="13">
        <v>1.0</v>
      </c>
      <c r="P485" s="13">
        <v>1.0</v>
      </c>
      <c r="Q485" s="13" t="s">
        <v>23</v>
      </c>
      <c r="R485" s="13"/>
      <c r="S485" s="13" t="s">
        <v>23</v>
      </c>
      <c r="T485" s="13" t="s">
        <v>23</v>
      </c>
      <c r="U485" s="13" t="s">
        <v>23</v>
      </c>
    </row>
    <row r="486">
      <c r="A486" s="9" t="str">
        <f>HYPERLINK("https://docs.google.com/spreadsheets/d/1hg_GT4r2smQsgkwEYBqHOukVavnNSyncsyfceWDpOho/edit?usp=sharing","Jenna Morasca")</f>
        <v>Jenna Morasca</v>
      </c>
      <c r="B486" s="10">
        <v>8.0</v>
      </c>
      <c r="C486" s="10">
        <v>5.0</v>
      </c>
      <c r="D486" s="10">
        <v>3.0</v>
      </c>
      <c r="E486" s="11">
        <v>1.67</v>
      </c>
      <c r="F486" s="12">
        <v>0.0099</v>
      </c>
      <c r="G486" s="10">
        <v>9.0</v>
      </c>
      <c r="H486" s="10" t="s">
        <v>23</v>
      </c>
      <c r="I486" s="10" t="s">
        <v>42</v>
      </c>
      <c r="J486" s="10" t="s">
        <v>60</v>
      </c>
      <c r="K486" s="10" t="s">
        <v>136</v>
      </c>
      <c r="L486" s="13">
        <v>2.0</v>
      </c>
      <c r="M486" s="13">
        <v>2.0</v>
      </c>
      <c r="N486" s="13" t="s">
        <v>23</v>
      </c>
      <c r="O486" s="13" t="s">
        <v>23</v>
      </c>
      <c r="P486" s="10" t="s">
        <v>23</v>
      </c>
      <c r="Q486" s="10" t="s">
        <v>23</v>
      </c>
      <c r="R486" s="10"/>
      <c r="S486" s="10" t="s">
        <v>23</v>
      </c>
      <c r="T486" s="10"/>
      <c r="U486" s="10" t="s">
        <v>64</v>
      </c>
    </row>
    <row r="487">
      <c r="A487" s="9" t="str">
        <f>HYPERLINK("https://docs.google.com/spreadsheets/d/1nRsx7fR5xbH1eAbI_vBDvqXOgh7mXIwmZNhzrVL6oGM/edit?usp=sharing","Patricia Jackson")</f>
        <v>Patricia Jackson</v>
      </c>
      <c r="B487" s="10">
        <v>4.0</v>
      </c>
      <c r="C487" s="10">
        <v>5.0</v>
      </c>
      <c r="D487" s="10">
        <v>2.0</v>
      </c>
      <c r="E487" s="11">
        <v>2.5</v>
      </c>
      <c r="F487" s="12">
        <v>0.0105</v>
      </c>
      <c r="G487" s="10">
        <v>6.0</v>
      </c>
      <c r="H487" s="10" t="s">
        <v>23</v>
      </c>
      <c r="I487" s="10" t="s">
        <v>42</v>
      </c>
      <c r="J487" s="10" t="s">
        <v>60</v>
      </c>
      <c r="K487" s="10" t="s">
        <v>139</v>
      </c>
      <c r="L487" s="13" t="s">
        <v>23</v>
      </c>
      <c r="M487" s="13" t="s">
        <v>23</v>
      </c>
      <c r="N487" s="13" t="s">
        <v>23</v>
      </c>
      <c r="O487" s="13">
        <v>2.0</v>
      </c>
      <c r="P487" s="10" t="s">
        <v>23</v>
      </c>
      <c r="Q487" s="10" t="s">
        <v>23</v>
      </c>
      <c r="R487" s="10"/>
      <c r="S487" s="10" t="s">
        <v>23</v>
      </c>
      <c r="T487" s="10"/>
      <c r="U487" s="10" t="s">
        <v>23</v>
      </c>
    </row>
    <row r="488">
      <c r="A488" s="15" t="str">
        <f>HYPERLINK("https://docs.google.com/spreadsheets/d/1VEbyebFdBtPJKQC_U2uGrW6_v1fn6Hsoz3YYLyCxHR0/edit?usp=sharing","Melinda Hyder")</f>
        <v>Melinda Hyder</v>
      </c>
      <c r="B488" s="13">
        <v>12.0</v>
      </c>
      <c r="C488" s="13">
        <v>5.0</v>
      </c>
      <c r="D488" s="13">
        <v>2.0</v>
      </c>
      <c r="E488" s="16">
        <v>2.5</v>
      </c>
      <c r="F488" s="17">
        <v>0.1042</v>
      </c>
      <c r="G488" s="13">
        <v>6.0</v>
      </c>
      <c r="H488" s="13" t="s">
        <v>23</v>
      </c>
      <c r="I488" s="13" t="s">
        <v>42</v>
      </c>
      <c r="J488" s="13" t="s">
        <v>60</v>
      </c>
      <c r="K488" s="13" t="s">
        <v>139</v>
      </c>
      <c r="L488" s="13">
        <v>1.0</v>
      </c>
      <c r="M488" s="13" t="s">
        <v>23</v>
      </c>
      <c r="N488" s="13" t="s">
        <v>23</v>
      </c>
      <c r="O488" s="13">
        <v>2.0</v>
      </c>
      <c r="P488" s="13" t="s">
        <v>23</v>
      </c>
      <c r="Q488" s="13" t="s">
        <v>23</v>
      </c>
      <c r="R488" s="13"/>
      <c r="S488" s="13" t="s">
        <v>23</v>
      </c>
      <c r="T488" s="13" t="s">
        <v>23</v>
      </c>
      <c r="U488" s="13" t="s">
        <v>23</v>
      </c>
    </row>
    <row r="489">
      <c r="A489" s="9" t="str">
        <f>HYPERLINK("https://docs.google.com/spreadsheets/d/1nRsx7fR5xbH1eAbI_vBDvqXOgh7mXIwmZNhzrVL6oGM/edit?usp=sharing","Peter Harkey")</f>
        <v>Peter Harkey</v>
      </c>
      <c r="B489" s="10">
        <v>4.0</v>
      </c>
      <c r="C489" s="10">
        <v>5.0</v>
      </c>
      <c r="D489" s="10">
        <v>1.0</v>
      </c>
      <c r="E489" s="11">
        <v>5.0</v>
      </c>
      <c r="F489" s="12">
        <v>0.0105</v>
      </c>
      <c r="G489" s="10">
        <v>3.0</v>
      </c>
      <c r="H489" s="10" t="s">
        <v>23</v>
      </c>
      <c r="I489" s="10" t="s">
        <v>42</v>
      </c>
      <c r="J489" s="10" t="s">
        <v>60</v>
      </c>
      <c r="K489" s="10" t="s">
        <v>140</v>
      </c>
      <c r="L489" s="13" t="s">
        <v>23</v>
      </c>
      <c r="M489" s="13" t="s">
        <v>23</v>
      </c>
      <c r="N489" s="13" t="s">
        <v>23</v>
      </c>
      <c r="O489" s="13">
        <v>1.0</v>
      </c>
      <c r="P489" s="10" t="s">
        <v>23</v>
      </c>
      <c r="Q489" s="10" t="s">
        <v>23</v>
      </c>
      <c r="R489" s="10"/>
      <c r="S489" s="10" t="s">
        <v>23</v>
      </c>
      <c r="T489" s="10"/>
      <c r="U489" s="10" t="s">
        <v>23</v>
      </c>
    </row>
    <row r="490">
      <c r="A490" s="15" t="str">
        <f>HYPERLINK("https://docs.google.com/spreadsheets/d/1Hf_PbZTXAuooCoiF7c3Bz80t5-zCjdWHF8wQ_HyodNs/edit?usp=sharing","Chelsea Townsend")</f>
        <v>Chelsea Townsend</v>
      </c>
      <c r="B490" s="13">
        <v>36.0</v>
      </c>
      <c r="C490" s="13">
        <v>4.0</v>
      </c>
      <c r="D490" s="13">
        <v>12.0</v>
      </c>
      <c r="E490" s="16">
        <v>0.33</v>
      </c>
      <c r="F490" s="17">
        <v>0.0102</v>
      </c>
      <c r="G490" s="13">
        <v>32.0</v>
      </c>
      <c r="H490" s="13">
        <v>8.0</v>
      </c>
      <c r="I490" s="13" t="s">
        <v>9</v>
      </c>
      <c r="J490" s="13" t="s">
        <v>37</v>
      </c>
      <c r="K490" s="13" t="s">
        <v>71</v>
      </c>
      <c r="L490" s="13">
        <v>6.0</v>
      </c>
      <c r="M490" s="13">
        <v>4.0</v>
      </c>
      <c r="N490" s="13">
        <v>2.0</v>
      </c>
      <c r="O490" s="13">
        <v>8.0</v>
      </c>
      <c r="P490" s="13" t="s">
        <v>23</v>
      </c>
      <c r="Q490" s="13" t="s">
        <v>23</v>
      </c>
      <c r="R490" s="13"/>
      <c r="S490" s="13" t="s">
        <v>23</v>
      </c>
      <c r="T490" s="13" t="s">
        <v>23</v>
      </c>
      <c r="U490" s="13" t="s">
        <v>23</v>
      </c>
    </row>
    <row r="491">
      <c r="A491" s="9" t="str">
        <f>HYPERLINK("https://docs.google.com/spreadsheets/d/1OvIOVR4AMBMcafVt9o6KEur-eEFhew1kw_KUv3DV3Xs/edit?usp=sharing","Whitney Duncan")</f>
        <v>Whitney Duncan</v>
      </c>
      <c r="B491" s="10">
        <v>23.0</v>
      </c>
      <c r="C491" s="10">
        <v>4.0</v>
      </c>
      <c r="D491" s="10">
        <v>11.0</v>
      </c>
      <c r="E491" s="11">
        <v>0.36</v>
      </c>
      <c r="F491" s="12">
        <v>0.01</v>
      </c>
      <c r="G491" s="10">
        <v>28.0</v>
      </c>
      <c r="H491" s="10">
        <v>9.0</v>
      </c>
      <c r="I491" s="10" t="s">
        <v>9</v>
      </c>
      <c r="J491" s="10" t="s">
        <v>58</v>
      </c>
      <c r="K491" s="10" t="s">
        <v>83</v>
      </c>
      <c r="L491" s="13">
        <v>5.0</v>
      </c>
      <c r="M491" s="13">
        <v>3.0</v>
      </c>
      <c r="N491" s="13">
        <v>1.0</v>
      </c>
      <c r="O491" s="13">
        <v>9.0</v>
      </c>
      <c r="P491" s="13" t="s">
        <v>23</v>
      </c>
      <c r="Q491" s="13">
        <v>1.0</v>
      </c>
      <c r="R491" s="13"/>
      <c r="S491" s="10" t="s">
        <v>23</v>
      </c>
      <c r="T491" s="10"/>
      <c r="U491" s="10" t="s">
        <v>23</v>
      </c>
    </row>
    <row r="492">
      <c r="A492" s="9" t="str">
        <f>HYPERLINK("https://docs.google.com/spreadsheets/d/1v6gXy2rHfH0CkzT8zUZyZm6b-WimbnBspkh1B5hksu4/edit?usp=sharing","Leif Manson")</f>
        <v>Leif Manson</v>
      </c>
      <c r="B492" s="10">
        <v>24.0</v>
      </c>
      <c r="C492" s="10">
        <v>4.0</v>
      </c>
      <c r="D492" s="10">
        <v>10.0</v>
      </c>
      <c r="E492" s="11">
        <v>0.4</v>
      </c>
      <c r="F492" s="12">
        <v>0.0105</v>
      </c>
      <c r="G492" s="10">
        <v>27.0</v>
      </c>
      <c r="H492" s="10">
        <v>6.0</v>
      </c>
      <c r="I492" s="10" t="s">
        <v>9</v>
      </c>
      <c r="J492" s="10" t="s">
        <v>58</v>
      </c>
      <c r="K492" s="10" t="s">
        <v>83</v>
      </c>
      <c r="L492" s="13">
        <v>5.0</v>
      </c>
      <c r="M492" s="13">
        <v>2.0</v>
      </c>
      <c r="N492" s="13" t="s">
        <v>23</v>
      </c>
      <c r="O492" s="13">
        <v>7.0</v>
      </c>
      <c r="P492" s="10" t="s">
        <v>23</v>
      </c>
      <c r="Q492" s="10" t="s">
        <v>23</v>
      </c>
      <c r="R492" s="10"/>
      <c r="S492" s="10" t="s">
        <v>23</v>
      </c>
      <c r="T492" s="10"/>
      <c r="U492" s="10" t="s">
        <v>23</v>
      </c>
    </row>
    <row r="493">
      <c r="A493" s="9" t="str">
        <f>HYPERLINK("https://docs.google.com/spreadsheets/d/1LR80O0PvsOvoTuN5gHQd3Rls4b1rZmJd7EZ_DR2oRHs/edit?usp=sharing","Julia Landauer")</f>
        <v>Julia Landauer</v>
      </c>
      <c r="B493" s="10">
        <v>26.0</v>
      </c>
      <c r="C493" s="10">
        <v>4.0</v>
      </c>
      <c r="D493" s="10">
        <v>7.0</v>
      </c>
      <c r="E493" s="11">
        <v>0.57</v>
      </c>
      <c r="F493" s="12">
        <v>0.0097</v>
      </c>
      <c r="G493" s="10">
        <v>19.0</v>
      </c>
      <c r="H493" s="10">
        <v>3.0</v>
      </c>
      <c r="I493" s="10" t="s">
        <v>42</v>
      </c>
      <c r="J493" s="10" t="s">
        <v>60</v>
      </c>
      <c r="K493" s="10" t="s">
        <v>100</v>
      </c>
      <c r="L493" s="13" t="s">
        <v>23</v>
      </c>
      <c r="M493" s="13">
        <v>2.0</v>
      </c>
      <c r="N493" s="13" t="s">
        <v>23</v>
      </c>
      <c r="O493" s="13">
        <v>5.0</v>
      </c>
      <c r="P493" s="10" t="s">
        <v>23</v>
      </c>
      <c r="Q493" s="10" t="s">
        <v>23</v>
      </c>
      <c r="R493" s="10"/>
      <c r="S493" s="10" t="s">
        <v>23</v>
      </c>
      <c r="T493" s="10"/>
      <c r="U493" s="10" t="s">
        <v>23</v>
      </c>
    </row>
    <row r="494">
      <c r="A494" s="15" t="str">
        <f>HYPERLINK("https://docs.google.com/spreadsheets/d/1VEbyebFdBtPJKQC_U2uGrW6_v1fn6Hsoz3YYLyCxHR0/edit?usp=sharing","Ruth-Marie Milliman")</f>
        <v>Ruth-Marie Milliman</v>
      </c>
      <c r="B494" s="13">
        <v>12.0</v>
      </c>
      <c r="C494" s="13">
        <v>4.0</v>
      </c>
      <c r="D494" s="13">
        <v>4.0</v>
      </c>
      <c r="E494" s="16">
        <v>1.0</v>
      </c>
      <c r="F494" s="17">
        <v>0.1613</v>
      </c>
      <c r="G494" s="13">
        <v>11.0</v>
      </c>
      <c r="H494" s="13">
        <v>1.0</v>
      </c>
      <c r="I494" s="13" t="s">
        <v>42</v>
      </c>
      <c r="J494" s="13" t="s">
        <v>60</v>
      </c>
      <c r="K494" s="13" t="s">
        <v>107</v>
      </c>
      <c r="L494" s="13">
        <v>3.0</v>
      </c>
      <c r="M494" s="13">
        <v>1.0</v>
      </c>
      <c r="N494" s="13" t="s">
        <v>23</v>
      </c>
      <c r="O494" s="13">
        <v>3.0</v>
      </c>
      <c r="P494" s="13" t="s">
        <v>23</v>
      </c>
      <c r="Q494" s="13" t="s">
        <v>23</v>
      </c>
      <c r="R494" s="13"/>
      <c r="S494" s="13" t="s">
        <v>23</v>
      </c>
      <c r="T494" s="13" t="s">
        <v>23</v>
      </c>
      <c r="U494" s="13" t="s">
        <v>23</v>
      </c>
    </row>
    <row r="495">
      <c r="A495" s="9" t="str">
        <f>HYPERLINK("https://docs.google.com/spreadsheets/d/1w0I5RoQ7uENhUG1ncC5V9B3b6BQapplx180-f9F9s4w/edit?usp=sharing","Joanna Ward")</f>
        <v>Joanna Ward</v>
      </c>
      <c r="B495" s="10">
        <v>6.0</v>
      </c>
      <c r="C495" s="10">
        <v>4.0</v>
      </c>
      <c r="D495" s="10">
        <v>4.0</v>
      </c>
      <c r="E495" s="11">
        <v>1.0</v>
      </c>
      <c r="F495" s="12">
        <v>0.0082</v>
      </c>
      <c r="G495" s="10">
        <v>12.0</v>
      </c>
      <c r="H495" s="10">
        <v>1.0</v>
      </c>
      <c r="I495" s="10" t="s">
        <v>42</v>
      </c>
      <c r="J495" s="10" t="s">
        <v>60</v>
      </c>
      <c r="K495" s="10" t="s">
        <v>107</v>
      </c>
      <c r="L495" s="13">
        <v>2.0</v>
      </c>
      <c r="M495" s="13">
        <v>2.0</v>
      </c>
      <c r="N495" s="13" t="s">
        <v>23</v>
      </c>
      <c r="O495" s="13">
        <v>2.0</v>
      </c>
      <c r="P495" s="10" t="s">
        <v>23</v>
      </c>
      <c r="Q495" s="10" t="s">
        <v>23</v>
      </c>
      <c r="R495" s="10"/>
      <c r="S495" s="10" t="s">
        <v>23</v>
      </c>
      <c r="T495" s="10"/>
      <c r="U495" s="10" t="s">
        <v>23</v>
      </c>
    </row>
    <row r="496">
      <c r="A496" s="15" t="str">
        <f>HYPERLINK("https://docs.google.com/spreadsheets/d/1sWOJC8eB6rVdXdWiWMgfbfgw2325jIh1ODKxyaCmSGc/edit?usp=sharing","Brooke Struck")</f>
        <v>Brooke Struck</v>
      </c>
      <c r="B496" s="13">
        <v>11.0</v>
      </c>
      <c r="C496" s="13">
        <v>4.0</v>
      </c>
      <c r="D496" s="13">
        <v>4.0</v>
      </c>
      <c r="E496" s="16">
        <v>1.0</v>
      </c>
      <c r="F496" s="17">
        <v>0.0091</v>
      </c>
      <c r="G496" s="13">
        <v>11.0</v>
      </c>
      <c r="H496" s="13">
        <v>1.0</v>
      </c>
      <c r="I496" s="13" t="s">
        <v>42</v>
      </c>
      <c r="J496" s="13" t="s">
        <v>60</v>
      </c>
      <c r="K496" s="13" t="s">
        <v>113</v>
      </c>
      <c r="L496" s="13">
        <v>3.0</v>
      </c>
      <c r="M496" s="13">
        <v>2.0</v>
      </c>
      <c r="N496" s="13" t="s">
        <v>23</v>
      </c>
      <c r="O496" s="13">
        <v>2.0</v>
      </c>
      <c r="P496" s="13" t="s">
        <v>23</v>
      </c>
      <c r="Q496" s="13" t="s">
        <v>23</v>
      </c>
      <c r="R496" s="13"/>
      <c r="S496" s="13" t="s">
        <v>23</v>
      </c>
      <c r="T496" s="13" t="s">
        <v>23</v>
      </c>
      <c r="U496" s="13" t="s">
        <v>23</v>
      </c>
    </row>
    <row r="497">
      <c r="A497" s="19" t="str">
        <f>HYPERLINK("https://docs.google.com/spreadsheets/d/1TniiK35-AGMNddj9lkge_tT9QfOGXMfX2thnTv8npTo/edit?usp=sharing","Tanya Vance")</f>
        <v>Tanya Vance</v>
      </c>
      <c r="B497" s="20">
        <v>5.0</v>
      </c>
      <c r="C497" s="20">
        <v>4.0</v>
      </c>
      <c r="D497" s="20">
        <v>2.0</v>
      </c>
      <c r="E497" s="26">
        <v>2.0</v>
      </c>
      <c r="F497" s="14">
        <v>0.0083</v>
      </c>
      <c r="G497" s="21">
        <v>6.0</v>
      </c>
      <c r="H497" s="21" t="s">
        <v>23</v>
      </c>
      <c r="I497" s="10" t="s">
        <v>42</v>
      </c>
      <c r="J497" s="20" t="s">
        <v>60</v>
      </c>
      <c r="K497" s="20" t="s">
        <v>139</v>
      </c>
      <c r="L497" s="13" t="s">
        <v>23</v>
      </c>
      <c r="M497" s="13" t="s">
        <v>23</v>
      </c>
      <c r="N497" s="13" t="s">
        <v>23</v>
      </c>
      <c r="O497" s="13">
        <v>2.0</v>
      </c>
      <c r="P497" s="10" t="s">
        <v>23</v>
      </c>
      <c r="Q497" s="10" t="s">
        <v>23</v>
      </c>
      <c r="R497" s="10"/>
      <c r="S497" s="10" t="s">
        <v>23</v>
      </c>
      <c r="T497" s="10"/>
      <c r="U497" s="10" t="s">
        <v>23</v>
      </c>
    </row>
    <row r="498">
      <c r="A498" s="9" t="str">
        <f>HYPERLINK("https://docs.google.com/spreadsheets/d/1hg_GT4r2smQsgkwEYBqHOukVavnNSyncsyfceWDpOho/edit?usp=sharing","Rudy Boesch")</f>
        <v>Rudy Boesch</v>
      </c>
      <c r="B498" s="10">
        <v>8.0</v>
      </c>
      <c r="C498" s="10">
        <v>4.0</v>
      </c>
      <c r="D498" s="10">
        <v>2.0</v>
      </c>
      <c r="E498" s="11">
        <v>2.0</v>
      </c>
      <c r="F498" s="12">
        <v>0.0079</v>
      </c>
      <c r="G498" s="10">
        <v>6.0</v>
      </c>
      <c r="H498" s="10" t="s">
        <v>23</v>
      </c>
      <c r="I498" s="10" t="s">
        <v>42</v>
      </c>
      <c r="J498" s="10" t="s">
        <v>60</v>
      </c>
      <c r="K498" s="10" t="s">
        <v>128</v>
      </c>
      <c r="L498" s="13">
        <v>1.0</v>
      </c>
      <c r="M498" s="13" t="s">
        <v>23</v>
      </c>
      <c r="N498" s="13" t="s">
        <v>23</v>
      </c>
      <c r="O498" s="13">
        <v>2.0</v>
      </c>
      <c r="P498" s="10" t="s">
        <v>23</v>
      </c>
      <c r="Q498" s="10" t="s">
        <v>23</v>
      </c>
      <c r="R498" s="10"/>
      <c r="S498" s="10" t="s">
        <v>23</v>
      </c>
      <c r="T498" s="10"/>
      <c r="U498" s="10" t="s">
        <v>23</v>
      </c>
    </row>
    <row r="499">
      <c r="A499" s="9" t="str">
        <f>HYPERLINK("https://docs.google.com/spreadsheets/d/18wmIvmUS3SeZNSPQeUzr6sPl9GBYpVSlOaFR_kJCmKo/edit?usp=sharing","Kel Gleason")</f>
        <v>Kel Gleason</v>
      </c>
      <c r="B499" s="10">
        <v>2.0</v>
      </c>
      <c r="C499" s="10">
        <v>4.0</v>
      </c>
      <c r="D499" s="10">
        <v>2.0</v>
      </c>
      <c r="E499" s="11">
        <v>2.0</v>
      </c>
      <c r="F499" s="12">
        <v>0.0071</v>
      </c>
      <c r="G499" s="10">
        <v>6.0</v>
      </c>
      <c r="H499" s="10">
        <v>1.0</v>
      </c>
      <c r="I499" s="10" t="s">
        <v>42</v>
      </c>
      <c r="J499" s="10" t="s">
        <v>60</v>
      </c>
      <c r="K499" s="10" t="s">
        <v>139</v>
      </c>
      <c r="L499" s="13">
        <v>2.0</v>
      </c>
      <c r="M499" s="13">
        <v>1.0</v>
      </c>
      <c r="N499" s="13" t="s">
        <v>23</v>
      </c>
      <c r="O499" s="13">
        <v>1.0</v>
      </c>
      <c r="P499" s="10" t="s">
        <v>23</v>
      </c>
      <c r="Q499" s="10" t="s">
        <v>23</v>
      </c>
      <c r="R499" s="10"/>
      <c r="S499" s="10" t="s">
        <v>23</v>
      </c>
      <c r="T499" s="10"/>
      <c r="U499" s="10" t="s">
        <v>23</v>
      </c>
    </row>
    <row r="500">
      <c r="A500" s="9" t="str">
        <f>HYPERLINK("https://docs.google.com/spreadsheets/d/1EZNO7rY3X3GsqJDX9iY8RpZJJDJ-K4nm_Mxm1g397N0/edit?usp=sharing","Jessie Camacho")</f>
        <v>Jessie Camacho</v>
      </c>
      <c r="B500" s="10">
        <v>3.0</v>
      </c>
      <c r="C500" s="10">
        <v>4.0</v>
      </c>
      <c r="D500" s="10">
        <v>2.0</v>
      </c>
      <c r="E500" s="11">
        <v>2.0</v>
      </c>
      <c r="F500" s="12">
        <v>0.008</v>
      </c>
      <c r="G500" s="10">
        <v>6.0</v>
      </c>
      <c r="H500" s="10" t="s">
        <v>23</v>
      </c>
      <c r="I500" s="10" t="s">
        <v>42</v>
      </c>
      <c r="J500" s="10" t="s">
        <v>60</v>
      </c>
      <c r="K500" s="10" t="s">
        <v>139</v>
      </c>
      <c r="L500" s="13" t="s">
        <v>23</v>
      </c>
      <c r="M500" s="13" t="s">
        <v>23</v>
      </c>
      <c r="N500" s="13" t="s">
        <v>23</v>
      </c>
      <c r="O500" s="13">
        <v>2.0</v>
      </c>
      <c r="P500" s="10" t="s">
        <v>23</v>
      </c>
      <c r="Q500" s="10" t="s">
        <v>23</v>
      </c>
      <c r="R500" s="10"/>
      <c r="S500" s="10" t="s">
        <v>23</v>
      </c>
      <c r="T500" s="10"/>
      <c r="U500" s="10" t="s">
        <v>23</v>
      </c>
    </row>
    <row r="501">
      <c r="A501" s="15" t="str">
        <f>HYPERLINK("https://docs.google.com/spreadsheets/d/1q-5bbq9txg93Y0eUACxRPTIN5PuRjeDVpNDfeXEw4iE/edit?usp=sharing","Simone Nguyen")</f>
        <v>Simone Nguyen</v>
      </c>
      <c r="B501" s="13">
        <v>35.0</v>
      </c>
      <c r="C501" s="13">
        <v>4.0</v>
      </c>
      <c r="D501" s="13">
        <v>2.0</v>
      </c>
      <c r="E501" s="16">
        <v>2.0</v>
      </c>
      <c r="F501" s="17">
        <v>0.0093</v>
      </c>
      <c r="G501" s="13">
        <v>6.0</v>
      </c>
      <c r="H501" s="13">
        <v>1.0</v>
      </c>
      <c r="I501" s="13" t="s">
        <v>42</v>
      </c>
      <c r="J501" s="13" t="s">
        <v>60</v>
      </c>
      <c r="K501" s="13" t="s">
        <v>128</v>
      </c>
      <c r="L501" s="13" t="s">
        <v>23</v>
      </c>
      <c r="M501" s="13">
        <v>1.0</v>
      </c>
      <c r="N501" s="13" t="s">
        <v>23</v>
      </c>
      <c r="O501" s="13">
        <v>1.0</v>
      </c>
      <c r="P501" s="13" t="s">
        <v>23</v>
      </c>
      <c r="Q501" s="13" t="s">
        <v>23</v>
      </c>
      <c r="R501" s="13"/>
      <c r="S501" s="13" t="s">
        <v>23</v>
      </c>
      <c r="T501" s="13" t="s">
        <v>23</v>
      </c>
      <c r="U501" s="13" t="s">
        <v>23</v>
      </c>
    </row>
    <row r="502">
      <c r="A502" s="9" t="str">
        <f>HYPERLINK("https://docs.google.com/spreadsheets/d/1w0I5RoQ7uENhUG1ncC5V9B3b6BQapplx180-f9F9s4w/edit?usp=sharing","Ryan Aiken")</f>
        <v>Ryan Aiken</v>
      </c>
      <c r="B502" s="10">
        <v>6.0</v>
      </c>
      <c r="C502" s="10">
        <v>4.0</v>
      </c>
      <c r="D502" s="10">
        <v>1.0</v>
      </c>
      <c r="E502" s="11">
        <v>4.0</v>
      </c>
      <c r="F502" s="12">
        <v>0.0082</v>
      </c>
      <c r="G502" s="10">
        <v>3.0</v>
      </c>
      <c r="H502" s="10" t="s">
        <v>23</v>
      </c>
      <c r="I502" s="10" t="s">
        <v>42</v>
      </c>
      <c r="J502" s="10" t="s">
        <v>60</v>
      </c>
      <c r="K502" s="10" t="s">
        <v>140</v>
      </c>
      <c r="L502" s="13" t="s">
        <v>23</v>
      </c>
      <c r="M502" s="13" t="s">
        <v>23</v>
      </c>
      <c r="N502" s="13" t="s">
        <v>23</v>
      </c>
      <c r="O502" s="13">
        <v>1.0</v>
      </c>
      <c r="P502" s="10" t="s">
        <v>23</v>
      </c>
      <c r="Q502" s="10" t="s">
        <v>23</v>
      </c>
      <c r="R502" s="10"/>
      <c r="S502" s="10" t="s">
        <v>23</v>
      </c>
      <c r="T502" s="10"/>
      <c r="U502" s="10" t="s">
        <v>23</v>
      </c>
    </row>
    <row r="503">
      <c r="A503" s="9" t="str">
        <f>HYPERLINK("https://docs.google.com/spreadsheets/d/1iNFGyKFcJm-tPp7Dg94yi7mHCDbJssmAD_PiaDM_tAE/edit?usp=sharing","Nadiya Anderson")</f>
        <v>Nadiya Anderson</v>
      </c>
      <c r="B503" s="10">
        <v>29.0</v>
      </c>
      <c r="C503" s="10">
        <v>4.0</v>
      </c>
      <c r="D503" s="10">
        <v>1.0</v>
      </c>
      <c r="E503" s="11">
        <v>4.0</v>
      </c>
      <c r="F503" s="12">
        <v>0.009</v>
      </c>
      <c r="G503" s="10">
        <v>3.0</v>
      </c>
      <c r="H503" s="10" t="s">
        <v>23</v>
      </c>
      <c r="I503" s="10" t="s">
        <v>42</v>
      </c>
      <c r="J503" s="10" t="s">
        <v>60</v>
      </c>
      <c r="K503" s="10" t="s">
        <v>138</v>
      </c>
      <c r="L503" s="23" t="s">
        <v>23</v>
      </c>
      <c r="M503" s="23" t="s">
        <v>23</v>
      </c>
      <c r="N503" s="23" t="s">
        <v>23</v>
      </c>
      <c r="O503" s="23">
        <v>1.0</v>
      </c>
      <c r="P503" s="23" t="s">
        <v>23</v>
      </c>
      <c r="Q503" s="23" t="s">
        <v>23</v>
      </c>
      <c r="R503" s="23"/>
      <c r="S503" s="13" t="s">
        <v>23</v>
      </c>
      <c r="T503" s="13"/>
      <c r="U503" s="10" t="s">
        <v>23</v>
      </c>
    </row>
    <row r="504">
      <c r="A504" s="9" t="str">
        <f>HYPERLINK("https://docs.google.com/spreadsheets/d/18wmIvmUS3SeZNSPQeUzr6sPl9GBYpVSlOaFR_kJCmKo/edit?usp=sharing","Debb Eaton")</f>
        <v>Debb Eaton</v>
      </c>
      <c r="B504" s="10">
        <v>2.0</v>
      </c>
      <c r="C504" s="10">
        <v>4.0</v>
      </c>
      <c r="D504" s="10">
        <v>1.0</v>
      </c>
      <c r="E504" s="11">
        <v>4.0</v>
      </c>
      <c r="F504" s="12">
        <v>0.0071</v>
      </c>
      <c r="G504" s="10">
        <v>3.0</v>
      </c>
      <c r="H504" s="10" t="s">
        <v>23</v>
      </c>
      <c r="I504" s="10" t="s">
        <v>42</v>
      </c>
      <c r="J504" s="10" t="s">
        <v>60</v>
      </c>
      <c r="K504" s="10" t="s">
        <v>140</v>
      </c>
      <c r="L504" s="13" t="s">
        <v>23</v>
      </c>
      <c r="M504" s="13" t="s">
        <v>23</v>
      </c>
      <c r="N504" s="13" t="s">
        <v>23</v>
      </c>
      <c r="O504" s="13">
        <v>1.0</v>
      </c>
      <c r="P504" s="10" t="s">
        <v>23</v>
      </c>
      <c r="Q504" s="10" t="s">
        <v>23</v>
      </c>
      <c r="R504" s="10"/>
      <c r="S504" s="10" t="s">
        <v>23</v>
      </c>
      <c r="T504" s="10"/>
      <c r="U504" s="10" t="s">
        <v>23</v>
      </c>
    </row>
    <row r="505">
      <c r="A505" s="9" t="str">
        <f>HYPERLINK("https://docs.google.com/spreadsheets/d/1y7awzkkkaNlh7XKjc44AGriTvqB9H3pVz8cFLyIYdbo/edit?usp=sharing","David Samson")</f>
        <v>David Samson</v>
      </c>
      <c r="B505" s="10">
        <v>28.0</v>
      </c>
      <c r="C505" s="10">
        <v>4.0</v>
      </c>
      <c r="D505" s="10">
        <v>1.0</v>
      </c>
      <c r="E505" s="11">
        <v>4.0</v>
      </c>
      <c r="F505" s="12">
        <v>0.0087</v>
      </c>
      <c r="G505" s="10">
        <v>3.0</v>
      </c>
      <c r="H505" s="10" t="s">
        <v>23</v>
      </c>
      <c r="I505" s="10" t="s">
        <v>42</v>
      </c>
      <c r="J505" s="10" t="s">
        <v>60</v>
      </c>
      <c r="K505" s="10" t="s">
        <v>138</v>
      </c>
      <c r="L505" s="13" t="s">
        <v>23</v>
      </c>
      <c r="M505" s="13" t="s">
        <v>23</v>
      </c>
      <c r="N505" s="13" t="s">
        <v>23</v>
      </c>
      <c r="O505" s="13">
        <v>1.0</v>
      </c>
      <c r="P505" s="10" t="s">
        <v>23</v>
      </c>
      <c r="Q505" s="10" t="s">
        <v>23</v>
      </c>
      <c r="R505" s="10"/>
      <c r="S505" s="10" t="s">
        <v>23</v>
      </c>
      <c r="T505" s="10"/>
      <c r="U505" s="10" t="s">
        <v>23</v>
      </c>
    </row>
    <row r="506">
      <c r="A506" s="15" t="str">
        <f>HYPERLINK("https://docs.google.com/spreadsheets/d/1t379i2CYDM1ZVdZZy_Nj2m3ht6Sp4J68-xZ2v4-PIMo/edit?usp=sharing","Darnell Hamilton")</f>
        <v>Darnell Hamilton</v>
      </c>
      <c r="B506" s="13">
        <v>32.0</v>
      </c>
      <c r="C506" s="13">
        <v>4.0</v>
      </c>
      <c r="D506" s="13">
        <v>1.0</v>
      </c>
      <c r="E506" s="16">
        <v>4.0</v>
      </c>
      <c r="F506" s="17">
        <v>0.0081</v>
      </c>
      <c r="G506" s="13">
        <v>3.0</v>
      </c>
      <c r="H506" s="13" t="s">
        <v>23</v>
      </c>
      <c r="I506" s="13" t="s">
        <v>42</v>
      </c>
      <c r="J506" s="13" t="s">
        <v>60</v>
      </c>
      <c r="K506" s="13" t="s">
        <v>138</v>
      </c>
      <c r="L506" s="13" t="s">
        <v>23</v>
      </c>
      <c r="M506" s="13" t="s">
        <v>23</v>
      </c>
      <c r="N506" s="13" t="s">
        <v>23</v>
      </c>
      <c r="O506" s="13">
        <v>1.0</v>
      </c>
      <c r="P506" s="13" t="s">
        <v>23</v>
      </c>
      <c r="Q506" s="13" t="s">
        <v>23</v>
      </c>
      <c r="R506" s="13"/>
      <c r="S506" s="13" t="s">
        <v>23</v>
      </c>
      <c r="T506" s="13"/>
      <c r="U506" s="13" t="s">
        <v>23</v>
      </c>
    </row>
    <row r="507">
      <c r="A507" s="9" t="str">
        <f>HYPERLINK("https://docs.google.com/spreadsheets/d/1yi_HtvN4TS5uRWCCFJg5RFaoouiIIe8CAtY_XnqP6iM/edit?usp=sharing","Brook Geraghty")</f>
        <v>Brook Geraghty</v>
      </c>
      <c r="B507" s="10">
        <v>9.0</v>
      </c>
      <c r="C507" s="10">
        <v>4.0</v>
      </c>
      <c r="D507" s="10">
        <v>1.0</v>
      </c>
      <c r="E507" s="11">
        <v>4.0</v>
      </c>
      <c r="F507" s="17">
        <v>0.0095</v>
      </c>
      <c r="G507" s="10">
        <v>3.0</v>
      </c>
      <c r="H507" s="10" t="s">
        <v>23</v>
      </c>
      <c r="I507" s="10" t="s">
        <v>42</v>
      </c>
      <c r="J507" s="10" t="s">
        <v>60</v>
      </c>
      <c r="K507" s="10" t="s">
        <v>138</v>
      </c>
      <c r="L507" s="10" t="s">
        <v>23</v>
      </c>
      <c r="M507" s="10" t="s">
        <v>23</v>
      </c>
      <c r="N507" s="10" t="s">
        <v>23</v>
      </c>
      <c r="O507" s="10">
        <v>1.0</v>
      </c>
      <c r="P507" s="10" t="s">
        <v>23</v>
      </c>
      <c r="Q507" s="10" t="s">
        <v>23</v>
      </c>
      <c r="R507" s="10"/>
      <c r="S507" s="10" t="s">
        <v>23</v>
      </c>
      <c r="T507" s="10"/>
      <c r="U507" s="10" t="s">
        <v>23</v>
      </c>
    </row>
    <row r="508">
      <c r="A508" s="15" t="str">
        <f>HYPERLINK("https://docs.google.com/spreadsheets/d/1ZajpFwOHrMmupCcACeLhLTzPOwhTrjKRR1FJtUgeLww/edit?usp=sharing","Lucy Huang")</f>
        <v>Lucy Huang</v>
      </c>
      <c r="B508" s="13">
        <v>33.0</v>
      </c>
      <c r="C508" s="13">
        <v>3.0</v>
      </c>
      <c r="D508" s="13">
        <v>4.0</v>
      </c>
      <c r="E508" s="16">
        <v>0.75</v>
      </c>
      <c r="F508" s="17">
        <v>0.0069</v>
      </c>
      <c r="G508" s="13">
        <v>12.0</v>
      </c>
      <c r="H508" s="13">
        <v>3.0</v>
      </c>
      <c r="I508" s="13" t="s">
        <v>42</v>
      </c>
      <c r="J508" s="13" t="s">
        <v>60</v>
      </c>
      <c r="K508" s="13" t="s">
        <v>96</v>
      </c>
      <c r="L508" s="13">
        <v>2.0</v>
      </c>
      <c r="M508" s="13">
        <v>1.0</v>
      </c>
      <c r="N508" s="13" t="s">
        <v>23</v>
      </c>
      <c r="O508" s="13">
        <v>3.0</v>
      </c>
      <c r="P508" s="13" t="s">
        <v>23</v>
      </c>
      <c r="Q508" s="13" t="s">
        <v>23</v>
      </c>
      <c r="R508" s="13"/>
      <c r="S508" s="13" t="s">
        <v>23</v>
      </c>
      <c r="T508" s="13" t="s">
        <v>23</v>
      </c>
      <c r="U508" s="13" t="s">
        <v>23</v>
      </c>
    </row>
    <row r="509">
      <c r="A509" s="9" t="str">
        <f>HYPERLINK("https://docs.google.com/spreadsheets/d/1LR80O0PvsOvoTuN5gHQd3Rls4b1rZmJd7EZ_DR2oRHs/edit?usp=sharing","Allie Pohevitz")</f>
        <v>Allie Pohevitz</v>
      </c>
      <c r="B509" s="10">
        <v>26.0</v>
      </c>
      <c r="C509" s="10">
        <v>3.0</v>
      </c>
      <c r="D509" s="10">
        <v>2.0</v>
      </c>
      <c r="E509" s="11">
        <v>1.5</v>
      </c>
      <c r="F509" s="12">
        <v>0.0073</v>
      </c>
      <c r="G509" s="10">
        <v>5.0</v>
      </c>
      <c r="H509" s="10" t="s">
        <v>23</v>
      </c>
      <c r="I509" s="10" t="s">
        <v>42</v>
      </c>
      <c r="J509" s="10" t="s">
        <v>60</v>
      </c>
      <c r="K509" s="10" t="s">
        <v>131</v>
      </c>
      <c r="L509" s="13" t="s">
        <v>23</v>
      </c>
      <c r="M509" s="13">
        <v>1.0</v>
      </c>
      <c r="N509" s="13">
        <v>1.0</v>
      </c>
      <c r="O509" s="13">
        <v>1.0</v>
      </c>
      <c r="P509" s="10" t="s">
        <v>23</v>
      </c>
      <c r="Q509" s="10" t="s">
        <v>23</v>
      </c>
      <c r="R509" s="10"/>
      <c r="S509" s="10" t="s">
        <v>23</v>
      </c>
      <c r="T509" s="10"/>
      <c r="U509" s="10" t="s">
        <v>23</v>
      </c>
    </row>
    <row r="510">
      <c r="A510" s="9" t="str">
        <f>HYPERLINK("https://docs.google.com/spreadsheets/d/1EsGJrNyA7pLwFUlZ6WfOkbnPz58Cle9N9c6epQSDRVA/edit?usp=sharing","Vytas Baskauskas")</f>
        <v>Vytas Baskauskas</v>
      </c>
      <c r="B510" s="10">
        <v>31.0</v>
      </c>
      <c r="C510" s="10">
        <v>3.0</v>
      </c>
      <c r="D510" s="10">
        <v>1.0</v>
      </c>
      <c r="E510" s="11">
        <v>3.0</v>
      </c>
      <c r="F510" s="12">
        <v>0.0068</v>
      </c>
      <c r="G510" s="10">
        <v>3.0</v>
      </c>
      <c r="H510" s="10" t="s">
        <v>23</v>
      </c>
      <c r="I510" s="10" t="s">
        <v>42</v>
      </c>
      <c r="J510" s="10" t="s">
        <v>60</v>
      </c>
      <c r="K510" s="10" t="s">
        <v>110</v>
      </c>
      <c r="L510" s="13">
        <v>1.0</v>
      </c>
      <c r="M510" s="13" t="s">
        <v>23</v>
      </c>
      <c r="N510" s="13" t="s">
        <v>23</v>
      </c>
      <c r="O510" s="13">
        <v>1.0</v>
      </c>
      <c r="P510" s="10" t="s">
        <v>23</v>
      </c>
      <c r="Q510" s="10" t="s">
        <v>23</v>
      </c>
      <c r="R510" s="10"/>
      <c r="S510" s="10" t="s">
        <v>23</v>
      </c>
      <c r="T510" s="10"/>
      <c r="U510" s="10" t="s">
        <v>23</v>
      </c>
    </row>
    <row r="511">
      <c r="A511" s="15" t="str">
        <f>HYPERLINK("https://docs.google.com/spreadsheets/d/1VEbyebFdBtPJKQC_U2uGrW6_v1fn6Hsoz3YYLyCxHR0/edit?usp=sharing","Tina Scheer")</f>
        <v>Tina Scheer</v>
      </c>
      <c r="B511" s="13">
        <v>12.0</v>
      </c>
      <c r="C511" s="13">
        <v>3.0</v>
      </c>
      <c r="D511" s="13">
        <v>1.0</v>
      </c>
      <c r="E511" s="16">
        <v>3.0</v>
      </c>
      <c r="F511" s="17">
        <v>0.1241</v>
      </c>
      <c r="G511" s="13">
        <v>3.0</v>
      </c>
      <c r="H511" s="13" t="s">
        <v>23</v>
      </c>
      <c r="I511" s="13" t="s">
        <v>42</v>
      </c>
      <c r="J511" s="13" t="s">
        <v>60</v>
      </c>
      <c r="K511" s="13" t="s">
        <v>140</v>
      </c>
      <c r="L511" s="13">
        <v>1.0</v>
      </c>
      <c r="M511" s="13" t="s">
        <v>23</v>
      </c>
      <c r="N511" s="13" t="s">
        <v>23</v>
      </c>
      <c r="O511" s="13">
        <v>1.0</v>
      </c>
      <c r="P511" s="13" t="s">
        <v>23</v>
      </c>
      <c r="Q511" s="13" t="s">
        <v>23</v>
      </c>
      <c r="R511" s="13"/>
      <c r="S511" s="13" t="s">
        <v>23</v>
      </c>
      <c r="T511" s="13" t="s">
        <v>23</v>
      </c>
      <c r="U511" s="13" t="s">
        <v>23</v>
      </c>
    </row>
    <row r="512">
      <c r="A512" s="15" t="str">
        <f>HYPERLINK("https://docs.google.com/spreadsheets/d/1ZajpFwOHrMmupCcACeLhLTzPOwhTrjKRR1FJtUgeLww/edit?usp=sharing","Rachel Ako")</f>
        <v>Rachel Ako</v>
      </c>
      <c r="B512" s="13">
        <v>33.0</v>
      </c>
      <c r="C512" s="13">
        <v>3.0</v>
      </c>
      <c r="D512" s="13">
        <v>1.0</v>
      </c>
      <c r="E512" s="16">
        <v>3.0</v>
      </c>
      <c r="F512" s="17">
        <v>0.0069</v>
      </c>
      <c r="G512" s="13">
        <v>4.0</v>
      </c>
      <c r="H512" s="13" t="s">
        <v>23</v>
      </c>
      <c r="I512" s="13" t="s">
        <v>42</v>
      </c>
      <c r="J512" s="13" t="s">
        <v>60</v>
      </c>
      <c r="K512" s="13" t="s">
        <v>110</v>
      </c>
      <c r="L512" s="13" t="s">
        <v>23</v>
      </c>
      <c r="M512" s="13" t="s">
        <v>23</v>
      </c>
      <c r="N512" s="13" t="s">
        <v>23</v>
      </c>
      <c r="O512" s="13">
        <v>1.0</v>
      </c>
      <c r="P512" s="13" t="s">
        <v>23</v>
      </c>
      <c r="Q512" s="13" t="s">
        <v>23</v>
      </c>
      <c r="R512" s="13"/>
      <c r="S512" s="13" t="s">
        <v>23</v>
      </c>
      <c r="T512" s="13" t="s">
        <v>23</v>
      </c>
      <c r="U512" s="13" t="s">
        <v>23</v>
      </c>
    </row>
    <row r="513">
      <c r="A513" s="15" t="str">
        <f>HYPERLINK("https://docs.google.com/spreadsheets/d/1d8Hzm_QCJnDef8NF_dVYBZLjLjFI3Fl8Yt14m8Zhn8Y/edit?usp=sharing","Jolanda Jones")</f>
        <v>Jolanda Jones</v>
      </c>
      <c r="B513" s="13">
        <v>10.0</v>
      </c>
      <c r="C513" s="13">
        <v>3.0</v>
      </c>
      <c r="D513" s="13">
        <v>1.0</v>
      </c>
      <c r="E513" s="16">
        <v>3.0</v>
      </c>
      <c r="F513" s="17">
        <v>0.007</v>
      </c>
      <c r="G513" s="13">
        <v>3.0</v>
      </c>
      <c r="H513" s="13" t="s">
        <v>23</v>
      </c>
      <c r="I513" s="13" t="s">
        <v>42</v>
      </c>
      <c r="J513" s="13" t="s">
        <v>60</v>
      </c>
      <c r="K513" s="13" t="s">
        <v>124</v>
      </c>
      <c r="L513" s="13" t="s">
        <v>23</v>
      </c>
      <c r="M513" s="13" t="s">
        <v>23</v>
      </c>
      <c r="N513" s="13">
        <v>1.0</v>
      </c>
      <c r="O513" s="13">
        <v>1.0</v>
      </c>
      <c r="P513" s="13" t="s">
        <v>23</v>
      </c>
      <c r="Q513" s="13" t="s">
        <v>23</v>
      </c>
      <c r="R513" s="13"/>
      <c r="S513" s="13" t="s">
        <v>23</v>
      </c>
      <c r="T513" s="13" t="s">
        <v>23</v>
      </c>
      <c r="U513" s="13" t="s">
        <v>23</v>
      </c>
    </row>
    <row r="514">
      <c r="A514" s="15" t="str">
        <f>HYPERLINK("https://docs.google.com/spreadsheets/d/1tElnwN2HVf964gGw8Ei53RyfjarS40wkDY3zivAPWp0/edit?usp=sharing","Ciera Eastin")</f>
        <v>Ciera Eastin</v>
      </c>
      <c r="B514" s="13">
        <v>34.0</v>
      </c>
      <c r="C514" s="13">
        <v>3.0</v>
      </c>
      <c r="D514" s="13">
        <v>1.0</v>
      </c>
      <c r="E514" s="16">
        <v>3.0</v>
      </c>
      <c r="F514" s="17">
        <v>0.0073</v>
      </c>
      <c r="G514" s="13">
        <v>3.0</v>
      </c>
      <c r="H514" s="13" t="s">
        <v>23</v>
      </c>
      <c r="I514" s="13" t="s">
        <v>42</v>
      </c>
      <c r="J514" s="13" t="s">
        <v>60</v>
      </c>
      <c r="K514" s="13" t="s">
        <v>110</v>
      </c>
      <c r="L514" s="13" t="s">
        <v>23</v>
      </c>
      <c r="M514" s="13" t="s">
        <v>23</v>
      </c>
      <c r="N514" s="13" t="s">
        <v>23</v>
      </c>
      <c r="O514" s="13">
        <v>1.0</v>
      </c>
      <c r="P514" s="13" t="s">
        <v>23</v>
      </c>
      <c r="Q514" s="13" t="s">
        <v>23</v>
      </c>
      <c r="R514" s="13"/>
      <c r="S514" s="13" t="s">
        <v>23</v>
      </c>
      <c r="T514" s="13" t="s">
        <v>23</v>
      </c>
      <c r="U514" s="13" t="s">
        <v>23</v>
      </c>
    </row>
    <row r="515">
      <c r="A515" s="15" t="str">
        <f>HYPERLINK("https://docs.google.com/spreadsheets/d/1sWOJC8eB6rVdXdWiWMgfbfgw2325jIh1ODKxyaCmSGc/edit?usp=sharing","Morgan McDevitt")</f>
        <v>Morgan McDevitt</v>
      </c>
      <c r="B515" s="13">
        <v>11.0</v>
      </c>
      <c r="C515" s="13">
        <v>2.0</v>
      </c>
      <c r="D515" s="13">
        <v>2.0</v>
      </c>
      <c r="E515" s="16">
        <v>1.0</v>
      </c>
      <c r="F515" s="17">
        <v>0.0045</v>
      </c>
      <c r="G515" s="13">
        <v>6.0</v>
      </c>
      <c r="H515" s="13">
        <v>1.0</v>
      </c>
      <c r="I515" s="13" t="s">
        <v>42</v>
      </c>
      <c r="J515" s="13" t="s">
        <v>60</v>
      </c>
      <c r="K515" s="13" t="s">
        <v>128</v>
      </c>
      <c r="L515" s="13" t="s">
        <v>23</v>
      </c>
      <c r="M515" s="13">
        <v>1.0</v>
      </c>
      <c r="N515" s="13" t="s">
        <v>23</v>
      </c>
      <c r="O515" s="13">
        <v>1.0</v>
      </c>
      <c r="P515" s="13" t="s">
        <v>23</v>
      </c>
      <c r="Q515" s="13" t="s">
        <v>23</v>
      </c>
      <c r="R515" s="13"/>
      <c r="S515" s="13" t="s">
        <v>23</v>
      </c>
      <c r="T515" s="13" t="s">
        <v>23</v>
      </c>
      <c r="U515" s="13" t="s">
        <v>23</v>
      </c>
    </row>
    <row r="516">
      <c r="A516" s="15" t="str">
        <f>HYPERLINK("https://docs.google.com/spreadsheets/d/1d8Hzm_QCJnDef8NF_dVYBZLjLjFI3Fl8Yt14m8Zhn8Y/edit?usp=sharing","Ashlee Ashby")</f>
        <v>Ashlee Ashby</v>
      </c>
      <c r="B516" s="13">
        <v>10.0</v>
      </c>
      <c r="C516" s="13">
        <v>2.0</v>
      </c>
      <c r="D516" s="13">
        <v>2.0</v>
      </c>
      <c r="E516" s="16">
        <v>1.0</v>
      </c>
      <c r="F516" s="17">
        <v>0.0047</v>
      </c>
      <c r="G516" s="13">
        <v>6.0</v>
      </c>
      <c r="H516" s="13" t="s">
        <v>23</v>
      </c>
      <c r="I516" s="13" t="s">
        <v>42</v>
      </c>
      <c r="J516" s="13" t="s">
        <v>60</v>
      </c>
      <c r="K516" s="13" t="s">
        <v>96</v>
      </c>
      <c r="L516" s="13">
        <v>1.0</v>
      </c>
      <c r="M516" s="13" t="s">
        <v>23</v>
      </c>
      <c r="N516" s="13" t="s">
        <v>23</v>
      </c>
      <c r="O516" s="13">
        <v>2.0</v>
      </c>
      <c r="P516" s="13" t="s">
        <v>23</v>
      </c>
      <c r="Q516" s="13" t="s">
        <v>23</v>
      </c>
      <c r="R516" s="13"/>
      <c r="S516" s="13" t="s">
        <v>23</v>
      </c>
      <c r="T516" s="13" t="s">
        <v>23</v>
      </c>
      <c r="U516" s="13" t="s">
        <v>23</v>
      </c>
    </row>
    <row r="517">
      <c r="A517" s="9" t="str">
        <f>HYPERLINK("https://docs.google.com/spreadsheets/d/1nYlVL4RxK2ZUH-a4MfKCalHyEjDRWz2ZumhyoaYsjTE/edit?usp=sharing","Wendy Jo De-Smidt-Kohlhoff")</f>
        <v>Wendy Jo De-Smidt-Kohlhoff</v>
      </c>
      <c r="B517" s="10">
        <v>21.0</v>
      </c>
      <c r="C517" s="10">
        <v>2.0</v>
      </c>
      <c r="D517" s="10">
        <v>1.0</v>
      </c>
      <c r="E517" s="11">
        <v>2.0</v>
      </c>
      <c r="F517" s="12">
        <v>0.0048</v>
      </c>
      <c r="G517" s="10">
        <v>3.0</v>
      </c>
      <c r="H517" s="10" t="s">
        <v>23</v>
      </c>
      <c r="I517" s="10" t="s">
        <v>42</v>
      </c>
      <c r="J517" s="10" t="s">
        <v>60</v>
      </c>
      <c r="K517" s="10" t="s">
        <v>110</v>
      </c>
      <c r="L517" s="13" t="s">
        <v>23</v>
      </c>
      <c r="M517" s="13" t="s">
        <v>23</v>
      </c>
      <c r="N517" s="13" t="s">
        <v>23</v>
      </c>
      <c r="O517" s="13">
        <v>1.0</v>
      </c>
      <c r="P517" s="10" t="s">
        <v>23</v>
      </c>
      <c r="Q517" s="10" t="s">
        <v>23</v>
      </c>
      <c r="R517" s="10"/>
      <c r="S517" s="10" t="s">
        <v>23</v>
      </c>
      <c r="T517" s="10"/>
      <c r="U517" s="10" t="s">
        <v>23</v>
      </c>
    </row>
    <row r="518">
      <c r="A518" s="9" t="str">
        <f>HYPERLINK("https://docs.google.com/spreadsheets/d/1hg_GT4r2smQsgkwEYBqHOukVavnNSyncsyfceWDpOho/edit?usp=sharing","Tina Wesson")</f>
        <v>Tina Wesson</v>
      </c>
      <c r="B518" s="10">
        <v>8.0</v>
      </c>
      <c r="C518" s="10">
        <v>2.0</v>
      </c>
      <c r="D518" s="10">
        <v>1.0</v>
      </c>
      <c r="E518" s="11">
        <v>2.0</v>
      </c>
      <c r="F518" s="12">
        <v>0.0039</v>
      </c>
      <c r="G518" s="10">
        <v>3.0</v>
      </c>
      <c r="H518" s="10" t="s">
        <v>23</v>
      </c>
      <c r="I518" s="10" t="s">
        <v>42</v>
      </c>
      <c r="J518" s="10" t="s">
        <v>60</v>
      </c>
      <c r="K518" s="10" t="s">
        <v>138</v>
      </c>
      <c r="L518" s="13" t="s">
        <v>23</v>
      </c>
      <c r="M518" s="13" t="s">
        <v>23</v>
      </c>
      <c r="N518" s="13" t="s">
        <v>23</v>
      </c>
      <c r="O518" s="13">
        <v>1.0</v>
      </c>
      <c r="P518" s="10" t="s">
        <v>23</v>
      </c>
      <c r="Q518" s="10" t="s">
        <v>23</v>
      </c>
      <c r="R518" s="10"/>
      <c r="S518" s="10" t="s">
        <v>23</v>
      </c>
      <c r="T518" s="10"/>
      <c r="U518" s="10" t="s">
        <v>23</v>
      </c>
    </row>
    <row r="519">
      <c r="A519" s="9" t="str">
        <f>HYPERLINK("https://docs.google.com/spreadsheets/d/14eN4V4imd53x81UQVckjyAx_2xIFGXJ8NE4XmE1oDkg/edit?usp=sharing","Sonja Christopher")</f>
        <v>Sonja Christopher</v>
      </c>
      <c r="B519" s="10">
        <v>1.0</v>
      </c>
      <c r="C519" s="10">
        <v>2.0</v>
      </c>
      <c r="D519" s="10">
        <v>1.0</v>
      </c>
      <c r="E519" s="11">
        <v>2.0</v>
      </c>
      <c r="F519" s="14">
        <v>0.003</v>
      </c>
      <c r="G519" s="10">
        <v>3.0</v>
      </c>
      <c r="H519" s="10" t="s">
        <v>23</v>
      </c>
      <c r="I519" s="10" t="s">
        <v>42</v>
      </c>
      <c r="J519" s="10" t="s">
        <v>60</v>
      </c>
      <c r="K519" s="10" t="s">
        <v>140</v>
      </c>
      <c r="L519" s="13" t="s">
        <v>23</v>
      </c>
      <c r="M519" s="13" t="s">
        <v>23</v>
      </c>
      <c r="N519" s="13" t="s">
        <v>23</v>
      </c>
      <c r="O519" s="13">
        <v>1.0</v>
      </c>
      <c r="P519" s="10" t="s">
        <v>23</v>
      </c>
      <c r="Q519" s="10" t="s">
        <v>23</v>
      </c>
      <c r="R519" s="10"/>
      <c r="S519" s="10" t="s">
        <v>23</v>
      </c>
      <c r="T519" s="10"/>
      <c r="U519" s="10" t="s">
        <v>23</v>
      </c>
    </row>
    <row r="520">
      <c r="A520" s="9" t="str">
        <f>HYPERLINK("https://docs.google.com/spreadsheets/d/1v6gXy2rHfH0CkzT8zUZyZm6b-WimbnBspkh1B5hksu4/edit?usp=sharing","Kourtney Moon")</f>
        <v>Kourtney Moon</v>
      </c>
      <c r="B520" s="10">
        <v>24.0</v>
      </c>
      <c r="C520" s="10">
        <v>2.0</v>
      </c>
      <c r="D520" s="10">
        <v>1.0</v>
      </c>
      <c r="E520" s="11">
        <v>2.0</v>
      </c>
      <c r="F520" s="12">
        <v>0.0052</v>
      </c>
      <c r="G520" s="10">
        <v>3.0</v>
      </c>
      <c r="H520" s="10" t="s">
        <v>23</v>
      </c>
      <c r="I520" s="10" t="s">
        <v>42</v>
      </c>
      <c r="J520" s="10" t="s">
        <v>60</v>
      </c>
      <c r="K520" s="10" t="s">
        <v>138</v>
      </c>
      <c r="L520" s="13" t="s">
        <v>23</v>
      </c>
      <c r="M520" s="13" t="s">
        <v>23</v>
      </c>
      <c r="N520" s="13" t="s">
        <v>23</v>
      </c>
      <c r="O520" s="13" t="s">
        <v>23</v>
      </c>
      <c r="P520" s="10" t="s">
        <v>23</v>
      </c>
      <c r="Q520" s="10" t="s">
        <v>23</v>
      </c>
      <c r="R520" s="10"/>
      <c r="S520" s="10" t="s">
        <v>23</v>
      </c>
      <c r="T520" s="10"/>
      <c r="U520" s="10" t="s">
        <v>92</v>
      </c>
    </row>
    <row r="521">
      <c r="A521" s="15" t="str">
        <f>HYPERLINK("https://docs.google.com/spreadsheets/d/1sWOJC8eB6rVdXdWiWMgfbfgw2325jIh1ODKxyaCmSGc/edit?usp=sharing","Jim Lynch")</f>
        <v>Jim Lynch</v>
      </c>
      <c r="B521" s="13">
        <v>11.0</v>
      </c>
      <c r="C521" s="13">
        <v>2.0</v>
      </c>
      <c r="D521" s="13">
        <v>1.0</v>
      </c>
      <c r="E521" s="16">
        <v>2.0</v>
      </c>
      <c r="F521" s="17">
        <v>0.0045</v>
      </c>
      <c r="G521" s="13">
        <v>3.0</v>
      </c>
      <c r="H521" s="13" t="s">
        <v>23</v>
      </c>
      <c r="I521" s="13" t="s">
        <v>42</v>
      </c>
      <c r="J521" s="13" t="s">
        <v>60</v>
      </c>
      <c r="K521" s="13" t="s">
        <v>138</v>
      </c>
      <c r="L521" s="13">
        <v>1.0</v>
      </c>
      <c r="M521" s="13" t="s">
        <v>23</v>
      </c>
      <c r="N521" s="13" t="s">
        <v>23</v>
      </c>
      <c r="O521" s="13">
        <v>1.0</v>
      </c>
      <c r="P521" s="13" t="s">
        <v>23</v>
      </c>
      <c r="Q521" s="13" t="s">
        <v>23</v>
      </c>
      <c r="R521" s="13"/>
      <c r="S521" s="13" t="s">
        <v>23</v>
      </c>
      <c r="T521" s="13" t="s">
        <v>23</v>
      </c>
      <c r="U521" s="13" t="s">
        <v>23</v>
      </c>
    </row>
    <row r="522">
      <c r="A522" s="15" t="str">
        <f>HYPERLINK("https://docs.google.com/spreadsheets/d/1q-5bbq9txg93Y0eUACxRPTIN5PuRjeDVpNDfeXEw4iE/edit?usp=sharing","Katrina Radke")</f>
        <v>Katrina Radke</v>
      </c>
      <c r="B522" s="13">
        <v>35.0</v>
      </c>
      <c r="C522" s="13">
        <v>2.0</v>
      </c>
      <c r="D522" s="13">
        <v>1.0</v>
      </c>
      <c r="E522" s="16">
        <v>2.0</v>
      </c>
      <c r="F522" s="17">
        <v>0.0046</v>
      </c>
      <c r="G522" s="13">
        <v>3.0</v>
      </c>
      <c r="H522" s="13" t="s">
        <v>23</v>
      </c>
      <c r="I522" s="13" t="s">
        <v>42</v>
      </c>
      <c r="J522" s="13" t="s">
        <v>60</v>
      </c>
      <c r="K522" s="13" t="s">
        <v>138</v>
      </c>
      <c r="L522" s="13">
        <v>1.0</v>
      </c>
      <c r="M522" s="13" t="s">
        <v>23</v>
      </c>
      <c r="N522" s="13" t="s">
        <v>23</v>
      </c>
      <c r="O522" s="13">
        <v>1.0</v>
      </c>
      <c r="P522" s="13" t="s">
        <v>23</v>
      </c>
      <c r="Q522" s="13" t="s">
        <v>23</v>
      </c>
      <c r="R522" s="13"/>
      <c r="S522" s="13" t="s">
        <v>23</v>
      </c>
      <c r="T522" s="13" t="s">
        <v>23</v>
      </c>
      <c r="U522" s="13" t="s">
        <v>23</v>
      </c>
    </row>
    <row r="523">
      <c r="A523" s="15" t="str">
        <f>HYPERLINK("https://docs.google.com/spreadsheets/d/1Hf_PbZTXAuooCoiF7c3Bz80t5-zCjdWHF8wQ_HyodNs/edit?usp=sharing","Stephanie Gonzalez")</f>
        <v>Stephanie Gonzalez</v>
      </c>
      <c r="B523" s="13">
        <v>36.0</v>
      </c>
      <c r="C523" s="13">
        <v>2.0</v>
      </c>
      <c r="D523" s="13">
        <v>1.0</v>
      </c>
      <c r="E523" s="16">
        <v>2.0</v>
      </c>
      <c r="F523" s="17">
        <v>0.0051</v>
      </c>
      <c r="G523" s="13">
        <v>3.0</v>
      </c>
      <c r="H523" s="13" t="s">
        <v>23</v>
      </c>
      <c r="I523" s="13" t="s">
        <v>42</v>
      </c>
      <c r="J523" s="13" t="s">
        <v>60</v>
      </c>
      <c r="K523" s="13" t="s">
        <v>110</v>
      </c>
      <c r="L523" s="13">
        <v>1.0</v>
      </c>
      <c r="M523" s="13" t="s">
        <v>23</v>
      </c>
      <c r="N523" s="13" t="s">
        <v>23</v>
      </c>
      <c r="O523" s="13">
        <v>1.0</v>
      </c>
      <c r="P523" s="13" t="s">
        <v>23</v>
      </c>
      <c r="Q523" s="13" t="s">
        <v>23</v>
      </c>
      <c r="R523" s="13"/>
      <c r="S523" s="13" t="s">
        <v>23</v>
      </c>
      <c r="T523" s="13" t="s">
        <v>23</v>
      </c>
      <c r="U523" s="13" t="s">
        <v>23</v>
      </c>
    </row>
    <row r="524">
      <c r="A524" s="9" t="str">
        <f>HYPERLINK("https://docs.google.com/spreadsheets/d/1LR80O0PvsOvoTuN5gHQd3Rls4b1rZmJd7EZ_DR2oRHs/edit?usp=sharing","Hope Driskill")</f>
        <v>Hope Driskill</v>
      </c>
      <c r="B524" s="10">
        <v>26.0</v>
      </c>
      <c r="C524" s="10">
        <v>1.0</v>
      </c>
      <c r="D524" s="10">
        <v>3.0</v>
      </c>
      <c r="E524" s="11">
        <v>0.33</v>
      </c>
      <c r="F524" s="12">
        <v>0.0024</v>
      </c>
      <c r="G524" s="10">
        <v>7.0</v>
      </c>
      <c r="H524" s="10">
        <v>2.0</v>
      </c>
      <c r="I524" s="10" t="s">
        <v>42</v>
      </c>
      <c r="J524" s="10" t="s">
        <v>60</v>
      </c>
      <c r="K524" s="10" t="s">
        <v>124</v>
      </c>
      <c r="L524" s="13" t="s">
        <v>23</v>
      </c>
      <c r="M524" s="13">
        <v>1.0</v>
      </c>
      <c r="N524" s="13" t="s">
        <v>23</v>
      </c>
      <c r="O524" s="13">
        <v>2.0</v>
      </c>
      <c r="P524" s="10" t="s">
        <v>23</v>
      </c>
      <c r="Q524" s="10" t="s">
        <v>23</v>
      </c>
      <c r="R524" s="10"/>
      <c r="S524" s="10" t="s">
        <v>23</v>
      </c>
      <c r="T524" s="10"/>
      <c r="U524" s="10" t="s">
        <v>23</v>
      </c>
    </row>
    <row r="525">
      <c r="A525" s="15" t="str">
        <f>HYPERLINK("https://docs.google.com/spreadsheets/d/1d8Hzm_QCJnDef8NF_dVYBZLjLjFI3Fl8Yt14m8Zhn8Y/edit?usp=sharing","Wanda Shirk")</f>
        <v>Wanda Shirk</v>
      </c>
      <c r="B525" s="13">
        <v>10.0</v>
      </c>
      <c r="C525" s="13">
        <v>1.0</v>
      </c>
      <c r="D525" s="13">
        <v>1.0</v>
      </c>
      <c r="E525" s="16">
        <v>1.0</v>
      </c>
      <c r="F525" s="17">
        <v>0.0023</v>
      </c>
      <c r="G525" s="13">
        <v>2.0</v>
      </c>
      <c r="H525" s="13" t="s">
        <v>23</v>
      </c>
      <c r="I525" s="13" t="s">
        <v>42</v>
      </c>
      <c r="J525" s="13" t="s">
        <v>60</v>
      </c>
      <c r="K525" s="13" t="s">
        <v>131</v>
      </c>
      <c r="L525" s="13" t="s">
        <v>23</v>
      </c>
      <c r="M525" s="13" t="s">
        <v>23</v>
      </c>
      <c r="N525" s="13" t="s">
        <v>23</v>
      </c>
      <c r="O525" s="13" t="s">
        <v>23</v>
      </c>
      <c r="P525" s="13" t="s">
        <v>23</v>
      </c>
      <c r="Q525" s="13" t="s">
        <v>23</v>
      </c>
      <c r="R525" s="13"/>
      <c r="S525" s="13" t="s">
        <v>23</v>
      </c>
      <c r="T525" s="13" t="s">
        <v>23</v>
      </c>
      <c r="U525" s="13" t="s">
        <v>23</v>
      </c>
    </row>
    <row r="526">
      <c r="A526" s="15" t="str">
        <f>HYPERLINK("https://docs.google.com/spreadsheets/d/1d8Hzm_QCJnDef8NF_dVYBZLjLjFI3Fl8Yt14m8Zhn8Y/edit?usp=sharing","Jonathan Libby")</f>
        <v>Jonathan Libby</v>
      </c>
      <c r="B526" s="13">
        <v>10.0</v>
      </c>
      <c r="C526" s="13">
        <v>1.0</v>
      </c>
      <c r="D526" s="13">
        <v>1.0</v>
      </c>
      <c r="E526" s="16">
        <v>1.0</v>
      </c>
      <c r="F526" s="17">
        <v>0.0023</v>
      </c>
      <c r="G526" s="13">
        <v>2.0</v>
      </c>
      <c r="H526" s="13" t="s">
        <v>23</v>
      </c>
      <c r="I526" s="13" t="s">
        <v>42</v>
      </c>
      <c r="J526" s="13" t="s">
        <v>60</v>
      </c>
      <c r="K526" s="13" t="s">
        <v>110</v>
      </c>
      <c r="L526" s="13" t="s">
        <v>23</v>
      </c>
      <c r="M526" s="13" t="s">
        <v>23</v>
      </c>
      <c r="N526" s="13" t="s">
        <v>23</v>
      </c>
      <c r="O526" s="13" t="s">
        <v>23</v>
      </c>
      <c r="P526" s="13" t="s">
        <v>23</v>
      </c>
      <c r="Q526" s="13" t="s">
        <v>23</v>
      </c>
      <c r="R526" s="13"/>
      <c r="S526" s="13" t="s">
        <v>23</v>
      </c>
      <c r="T526" s="13" t="s">
        <v>23</v>
      </c>
      <c r="U526" s="13" t="s">
        <v>23</v>
      </c>
    </row>
    <row r="527">
      <c r="A527" s="9" t="str">
        <f>HYPERLINK("https://docs.google.com/spreadsheets/d/1EZNO7rY3X3GsqJDX9iY8RpZJJDJ-K4nm_Mxm1g397N0/edit?usp=sharing","Diane Ogden")</f>
        <v>Diane Ogden</v>
      </c>
      <c r="B527" s="10">
        <v>3.0</v>
      </c>
      <c r="C527" s="10">
        <v>1.0</v>
      </c>
      <c r="D527" s="10">
        <v>1.0</v>
      </c>
      <c r="E527" s="11">
        <v>1.0</v>
      </c>
      <c r="F527" s="12">
        <v>0.002</v>
      </c>
      <c r="G527" s="10">
        <v>3.0</v>
      </c>
      <c r="H527" s="10" t="s">
        <v>23</v>
      </c>
      <c r="I527" s="10" t="s">
        <v>42</v>
      </c>
      <c r="J527" s="10" t="s">
        <v>60</v>
      </c>
      <c r="K527" s="10" t="s">
        <v>140</v>
      </c>
      <c r="L527" s="13" t="s">
        <v>23</v>
      </c>
      <c r="M527" s="13" t="s">
        <v>23</v>
      </c>
      <c r="N527" s="13" t="s">
        <v>23</v>
      </c>
      <c r="O527" s="13">
        <v>1.0</v>
      </c>
      <c r="P527" s="10" t="s">
        <v>23</v>
      </c>
      <c r="Q527" s="10" t="s">
        <v>23</v>
      </c>
      <c r="R527" s="10"/>
      <c r="S527" s="10" t="s">
        <v>23</v>
      </c>
      <c r="T527" s="10"/>
      <c r="U527" s="10" t="s">
        <v>23</v>
      </c>
    </row>
    <row r="528">
      <c r="B528" s="28"/>
      <c r="C528" s="28"/>
      <c r="D528" s="28"/>
      <c r="E528" s="29"/>
      <c r="F528" s="29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</row>
    <row r="529">
      <c r="B529" s="28"/>
      <c r="C529" s="28"/>
      <c r="D529" s="28"/>
      <c r="E529" s="29"/>
      <c r="F529" s="29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</row>
    <row r="530">
      <c r="B530" s="28"/>
      <c r="C530" s="28"/>
      <c r="D530" s="28"/>
      <c r="E530" s="29"/>
      <c r="F530" s="29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</row>
    <row r="531">
      <c r="B531" s="28"/>
      <c r="C531" s="28"/>
      <c r="D531" s="28"/>
      <c r="E531" s="29"/>
      <c r="F531" s="29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</row>
    <row r="532">
      <c r="B532" s="28"/>
      <c r="C532" s="28"/>
      <c r="D532" s="28"/>
      <c r="E532" s="29"/>
      <c r="F532" s="29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</row>
    <row r="533">
      <c r="B533" s="28"/>
      <c r="C533" s="28"/>
      <c r="D533" s="28"/>
      <c r="E533" s="29"/>
      <c r="F533" s="29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</row>
    <row r="534">
      <c r="B534" s="28"/>
      <c r="C534" s="28"/>
      <c r="D534" s="28"/>
      <c r="E534" s="29"/>
      <c r="F534" s="29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</row>
    <row r="535">
      <c r="B535" s="28"/>
      <c r="C535" s="28"/>
      <c r="D535" s="28"/>
      <c r="E535" s="29"/>
      <c r="F535" s="29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</row>
    <row r="536">
      <c r="B536" s="28"/>
      <c r="C536" s="28"/>
      <c r="D536" s="28"/>
      <c r="E536" s="29"/>
      <c r="F536" s="29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</row>
    <row r="537">
      <c r="B537" s="28"/>
      <c r="C537" s="28"/>
      <c r="D537" s="28"/>
      <c r="E537" s="29"/>
      <c r="F537" s="29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</row>
    <row r="538">
      <c r="B538" s="28"/>
      <c r="C538" s="28"/>
      <c r="D538" s="28"/>
      <c r="E538" s="29"/>
      <c r="F538" s="29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</row>
    <row r="539">
      <c r="B539" s="28"/>
      <c r="C539" s="28"/>
      <c r="D539" s="28"/>
      <c r="E539" s="29"/>
      <c r="F539" s="29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</row>
    <row r="540">
      <c r="B540" s="28"/>
      <c r="C540" s="28"/>
      <c r="D540" s="28"/>
      <c r="E540" s="29"/>
      <c r="F540" s="29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</row>
    <row r="541">
      <c r="B541" s="28"/>
      <c r="C541" s="28"/>
      <c r="D541" s="28"/>
      <c r="E541" s="29"/>
      <c r="F541" s="29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</row>
    <row r="542">
      <c r="B542" s="28"/>
      <c r="C542" s="28"/>
      <c r="D542" s="28"/>
      <c r="E542" s="29"/>
      <c r="F542" s="29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</row>
    <row r="543">
      <c r="B543" s="28"/>
      <c r="C543" s="28"/>
      <c r="D543" s="28"/>
      <c r="E543" s="29"/>
      <c r="F543" s="29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</row>
    <row r="544">
      <c r="B544" s="28"/>
      <c r="C544" s="28"/>
      <c r="D544" s="28"/>
      <c r="E544" s="29"/>
      <c r="F544" s="29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</row>
    <row r="545">
      <c r="B545" s="28"/>
      <c r="C545" s="28"/>
      <c r="D545" s="28"/>
      <c r="E545" s="29"/>
      <c r="F545" s="29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</row>
    <row r="546">
      <c r="B546" s="28"/>
      <c r="C546" s="28"/>
      <c r="D546" s="28"/>
      <c r="E546" s="29"/>
      <c r="F546" s="29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</row>
    <row r="547">
      <c r="B547" s="28"/>
      <c r="C547" s="28"/>
      <c r="D547" s="28"/>
      <c r="E547" s="29"/>
      <c r="F547" s="29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</row>
    <row r="548">
      <c r="B548" s="28"/>
      <c r="C548" s="28"/>
      <c r="D548" s="28"/>
      <c r="E548" s="29"/>
      <c r="F548" s="29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</row>
    <row r="549">
      <c r="B549" s="28"/>
      <c r="C549" s="28"/>
      <c r="D549" s="28"/>
      <c r="E549" s="29"/>
      <c r="F549" s="29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</row>
    <row r="550">
      <c r="B550" s="28"/>
      <c r="C550" s="28"/>
      <c r="D550" s="28"/>
      <c r="E550" s="29"/>
      <c r="F550" s="29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</row>
    <row r="551">
      <c r="B551" s="28"/>
      <c r="C551" s="28"/>
      <c r="D551" s="28"/>
      <c r="E551" s="29"/>
      <c r="F551" s="29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</row>
    <row r="552">
      <c r="B552" s="28"/>
      <c r="C552" s="28"/>
      <c r="D552" s="28"/>
      <c r="E552" s="29"/>
      <c r="F552" s="29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</row>
    <row r="553">
      <c r="B553" s="28"/>
      <c r="C553" s="28"/>
      <c r="D553" s="28"/>
      <c r="E553" s="29"/>
      <c r="F553" s="29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</row>
    <row r="554">
      <c r="B554" s="28"/>
      <c r="C554" s="28"/>
      <c r="D554" s="28"/>
      <c r="E554" s="29"/>
      <c r="F554" s="29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</row>
    <row r="555">
      <c r="B555" s="28"/>
      <c r="C555" s="28"/>
      <c r="D555" s="28"/>
      <c r="E555" s="29"/>
      <c r="F555" s="29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</row>
    <row r="556">
      <c r="B556" s="28"/>
      <c r="C556" s="28"/>
      <c r="D556" s="28"/>
      <c r="E556" s="29"/>
      <c r="F556" s="29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</row>
    <row r="557">
      <c r="B557" s="28"/>
      <c r="C557" s="28"/>
      <c r="D557" s="28"/>
      <c r="E557" s="29"/>
      <c r="F557" s="29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</row>
    <row r="558">
      <c r="B558" s="28"/>
      <c r="C558" s="28"/>
      <c r="D558" s="28"/>
      <c r="E558" s="29"/>
      <c r="F558" s="29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</row>
    <row r="559">
      <c r="B559" s="28"/>
      <c r="C559" s="28"/>
      <c r="D559" s="28"/>
      <c r="E559" s="29"/>
      <c r="F559" s="29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</row>
    <row r="560">
      <c r="B560" s="28"/>
      <c r="C560" s="28"/>
      <c r="D560" s="28"/>
      <c r="E560" s="29"/>
      <c r="F560" s="29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</row>
    <row r="561">
      <c r="B561" s="28"/>
      <c r="C561" s="28"/>
      <c r="D561" s="28"/>
      <c r="E561" s="29"/>
      <c r="F561" s="29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</row>
    <row r="562">
      <c r="B562" s="28"/>
      <c r="C562" s="28"/>
      <c r="D562" s="28"/>
      <c r="E562" s="29"/>
      <c r="F562" s="29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</row>
    <row r="563">
      <c r="B563" s="28"/>
      <c r="C563" s="28"/>
      <c r="D563" s="28"/>
      <c r="E563" s="29"/>
      <c r="F563" s="29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</row>
    <row r="564">
      <c r="B564" s="28"/>
      <c r="C564" s="28"/>
      <c r="D564" s="28"/>
      <c r="E564" s="29"/>
      <c r="F564" s="29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</row>
    <row r="565">
      <c r="B565" s="28"/>
      <c r="C565" s="28"/>
      <c r="D565" s="28"/>
      <c r="E565" s="29"/>
      <c r="F565" s="29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</row>
    <row r="566">
      <c r="B566" s="28"/>
      <c r="C566" s="28"/>
      <c r="D566" s="28"/>
      <c r="E566" s="29"/>
      <c r="F566" s="29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</row>
    <row r="567">
      <c r="B567" s="28"/>
      <c r="C567" s="28"/>
      <c r="D567" s="28"/>
      <c r="E567" s="29"/>
      <c r="F567" s="29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</row>
    <row r="568">
      <c r="B568" s="28"/>
      <c r="C568" s="28"/>
      <c r="D568" s="28"/>
      <c r="E568" s="29"/>
      <c r="F568" s="29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</row>
    <row r="569">
      <c r="B569" s="28"/>
      <c r="C569" s="28"/>
      <c r="D569" s="28"/>
      <c r="E569" s="29"/>
      <c r="F569" s="29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</row>
    <row r="570">
      <c r="B570" s="28"/>
      <c r="C570" s="28"/>
      <c r="D570" s="28"/>
      <c r="E570" s="29"/>
      <c r="F570" s="29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</row>
    <row r="571">
      <c r="B571" s="28"/>
      <c r="C571" s="28"/>
      <c r="D571" s="28"/>
      <c r="E571" s="29"/>
      <c r="F571" s="29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</row>
    <row r="572">
      <c r="B572" s="28"/>
      <c r="C572" s="28"/>
      <c r="D572" s="28"/>
      <c r="E572" s="29"/>
      <c r="F572" s="29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</row>
    <row r="573">
      <c r="B573" s="28"/>
      <c r="C573" s="28"/>
      <c r="D573" s="28"/>
      <c r="E573" s="29"/>
      <c r="F573" s="29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</row>
    <row r="574">
      <c r="B574" s="28"/>
      <c r="C574" s="28"/>
      <c r="D574" s="28"/>
      <c r="E574" s="29"/>
      <c r="F574" s="29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</row>
    <row r="575">
      <c r="B575" s="28"/>
      <c r="C575" s="28"/>
      <c r="D575" s="28"/>
      <c r="E575" s="29"/>
      <c r="F575" s="29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</row>
    <row r="576">
      <c r="B576" s="28"/>
      <c r="C576" s="28"/>
      <c r="D576" s="28"/>
      <c r="E576" s="29"/>
      <c r="F576" s="29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</row>
    <row r="577">
      <c r="B577" s="28"/>
      <c r="C577" s="28"/>
      <c r="D577" s="28"/>
      <c r="E577" s="29"/>
      <c r="F577" s="29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</row>
    <row r="578">
      <c r="B578" s="28"/>
      <c r="C578" s="28"/>
      <c r="D578" s="28"/>
      <c r="E578" s="29"/>
      <c r="F578" s="29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</row>
    <row r="579">
      <c r="B579" s="28"/>
      <c r="C579" s="28"/>
      <c r="D579" s="28"/>
      <c r="E579" s="29"/>
      <c r="F579" s="29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</row>
    <row r="580">
      <c r="B580" s="28"/>
      <c r="C580" s="28"/>
      <c r="D580" s="28"/>
      <c r="E580" s="29"/>
      <c r="F580" s="29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</row>
    <row r="581">
      <c r="B581" s="28"/>
      <c r="C581" s="28"/>
      <c r="D581" s="28"/>
      <c r="E581" s="29"/>
      <c r="F581" s="29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</row>
    <row r="582">
      <c r="B582" s="28"/>
      <c r="C582" s="28"/>
      <c r="D582" s="28"/>
      <c r="E582" s="29"/>
      <c r="F582" s="29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</row>
    <row r="583">
      <c r="B583" s="28"/>
      <c r="C583" s="28"/>
      <c r="D583" s="28"/>
      <c r="E583" s="29"/>
      <c r="F583" s="29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</row>
    <row r="584">
      <c r="B584" s="28"/>
      <c r="C584" s="28"/>
      <c r="D584" s="28"/>
      <c r="E584" s="29"/>
      <c r="F584" s="29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</row>
    <row r="585">
      <c r="B585" s="28"/>
      <c r="C585" s="28"/>
      <c r="D585" s="28"/>
      <c r="E585" s="29"/>
      <c r="F585" s="29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</row>
    <row r="586">
      <c r="B586" s="28"/>
      <c r="C586" s="28"/>
      <c r="D586" s="28"/>
      <c r="E586" s="29"/>
      <c r="F586" s="29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</row>
    <row r="587">
      <c r="B587" s="28"/>
      <c r="C587" s="28"/>
      <c r="D587" s="28"/>
      <c r="E587" s="29"/>
      <c r="F587" s="29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</row>
    <row r="588">
      <c r="B588" s="28"/>
      <c r="C588" s="28"/>
      <c r="D588" s="28"/>
      <c r="E588" s="29"/>
      <c r="F588" s="29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</row>
    <row r="589">
      <c r="B589" s="28"/>
      <c r="C589" s="28"/>
      <c r="D589" s="28"/>
      <c r="E589" s="29"/>
      <c r="F589" s="29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</row>
    <row r="590">
      <c r="B590" s="28"/>
      <c r="C590" s="28"/>
      <c r="D590" s="28"/>
      <c r="E590" s="29"/>
      <c r="F590" s="29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</row>
    <row r="591">
      <c r="B591" s="28"/>
      <c r="C591" s="28"/>
      <c r="D591" s="28"/>
      <c r="E591" s="29"/>
      <c r="F591" s="29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</row>
    <row r="592">
      <c r="B592" s="28"/>
      <c r="C592" s="28"/>
      <c r="D592" s="28"/>
      <c r="E592" s="29"/>
      <c r="F592" s="29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</row>
    <row r="593">
      <c r="B593" s="28"/>
      <c r="C593" s="28"/>
      <c r="D593" s="28"/>
      <c r="E593" s="29"/>
      <c r="F593" s="29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</row>
    <row r="594">
      <c r="B594" s="28"/>
      <c r="C594" s="28"/>
      <c r="D594" s="28"/>
      <c r="E594" s="29"/>
      <c r="F594" s="29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</row>
    <row r="595">
      <c r="B595" s="28"/>
      <c r="C595" s="28"/>
      <c r="D595" s="28"/>
      <c r="E595" s="29"/>
      <c r="F595" s="29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</row>
    <row r="596">
      <c r="B596" s="28"/>
      <c r="C596" s="28"/>
      <c r="D596" s="28"/>
      <c r="E596" s="29"/>
      <c r="F596" s="29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</row>
    <row r="597">
      <c r="B597" s="28"/>
      <c r="C597" s="28"/>
      <c r="D597" s="28"/>
      <c r="E597" s="29"/>
      <c r="F597" s="29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</row>
    <row r="598">
      <c r="B598" s="28"/>
      <c r="C598" s="28"/>
      <c r="D598" s="28"/>
      <c r="E598" s="29"/>
      <c r="F598" s="29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</row>
    <row r="599">
      <c r="B599" s="28"/>
      <c r="C599" s="28"/>
      <c r="D599" s="28"/>
      <c r="E599" s="29"/>
      <c r="F599" s="29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</row>
    <row r="600">
      <c r="B600" s="28"/>
      <c r="C600" s="28"/>
      <c r="D600" s="28"/>
      <c r="E600" s="29"/>
      <c r="F600" s="29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</row>
    <row r="601">
      <c r="B601" s="28"/>
      <c r="C601" s="28"/>
      <c r="D601" s="28"/>
      <c r="E601" s="29"/>
      <c r="F601" s="29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</row>
    <row r="602">
      <c r="B602" s="28"/>
      <c r="C602" s="28"/>
      <c r="D602" s="28"/>
      <c r="E602" s="29"/>
      <c r="F602" s="29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</row>
    <row r="603">
      <c r="B603" s="28"/>
      <c r="C603" s="28"/>
      <c r="D603" s="28"/>
      <c r="E603" s="29"/>
      <c r="F603" s="29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</row>
    <row r="604">
      <c r="B604" s="28"/>
      <c r="C604" s="28"/>
      <c r="D604" s="28"/>
      <c r="E604" s="29"/>
      <c r="F604" s="29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</row>
    <row r="605">
      <c r="B605" s="28"/>
      <c r="C605" s="28"/>
      <c r="D605" s="28"/>
      <c r="E605" s="29"/>
      <c r="F605" s="29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</row>
    <row r="606">
      <c r="B606" s="28"/>
      <c r="C606" s="28"/>
      <c r="D606" s="28"/>
      <c r="E606" s="29"/>
      <c r="F606" s="29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</row>
    <row r="607">
      <c r="B607" s="28"/>
      <c r="C607" s="28"/>
      <c r="D607" s="28"/>
      <c r="E607" s="29"/>
      <c r="F607" s="29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</row>
    <row r="608">
      <c r="B608" s="28"/>
      <c r="C608" s="28"/>
      <c r="D608" s="28"/>
      <c r="E608" s="29"/>
      <c r="F608" s="29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</row>
    <row r="609">
      <c r="B609" s="28"/>
      <c r="C609" s="28"/>
      <c r="D609" s="28"/>
      <c r="E609" s="29"/>
      <c r="F609" s="29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</row>
    <row r="610">
      <c r="B610" s="28"/>
      <c r="C610" s="28"/>
      <c r="D610" s="28"/>
      <c r="E610" s="29"/>
      <c r="F610" s="29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</row>
    <row r="611">
      <c r="B611" s="28"/>
      <c r="C611" s="28"/>
      <c r="D611" s="28"/>
      <c r="E611" s="29"/>
      <c r="F611" s="29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</row>
    <row r="612">
      <c r="B612" s="28"/>
      <c r="C612" s="28"/>
      <c r="D612" s="28"/>
      <c r="E612" s="29"/>
      <c r="F612" s="29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</row>
    <row r="613">
      <c r="B613" s="28"/>
      <c r="C613" s="28"/>
      <c r="D613" s="28"/>
      <c r="E613" s="29"/>
      <c r="F613" s="29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</row>
    <row r="614">
      <c r="B614" s="28"/>
      <c r="C614" s="28"/>
      <c r="D614" s="28"/>
      <c r="E614" s="29"/>
      <c r="F614" s="29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</row>
    <row r="615">
      <c r="B615" s="28"/>
      <c r="C615" s="28"/>
      <c r="D615" s="28"/>
      <c r="E615" s="29"/>
      <c r="F615" s="29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</row>
    <row r="616">
      <c r="B616" s="28"/>
      <c r="C616" s="28"/>
      <c r="D616" s="28"/>
      <c r="E616" s="29"/>
      <c r="F616" s="29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</row>
    <row r="617">
      <c r="B617" s="28"/>
      <c r="C617" s="28"/>
      <c r="D617" s="28"/>
      <c r="E617" s="29"/>
      <c r="F617" s="29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</row>
    <row r="618">
      <c r="B618" s="28"/>
      <c r="C618" s="28"/>
      <c r="D618" s="28"/>
      <c r="E618" s="29"/>
      <c r="F618" s="29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</row>
    <row r="619">
      <c r="B619" s="28"/>
      <c r="C619" s="28"/>
      <c r="D619" s="28"/>
      <c r="E619" s="29"/>
      <c r="F619" s="29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</row>
    <row r="620">
      <c r="B620" s="28"/>
      <c r="C620" s="28"/>
      <c r="D620" s="28"/>
      <c r="E620" s="29"/>
      <c r="F620" s="29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</row>
    <row r="621">
      <c r="B621" s="28"/>
      <c r="C621" s="28"/>
      <c r="D621" s="28"/>
      <c r="E621" s="29"/>
      <c r="F621" s="29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</row>
    <row r="622">
      <c r="B622" s="28"/>
      <c r="C622" s="28"/>
      <c r="D622" s="28"/>
      <c r="E622" s="29"/>
      <c r="F622" s="29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</row>
    <row r="623">
      <c r="B623" s="28"/>
      <c r="C623" s="28"/>
      <c r="D623" s="28"/>
      <c r="E623" s="29"/>
      <c r="F623" s="29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</row>
    <row r="624">
      <c r="B624" s="28"/>
      <c r="C624" s="28"/>
      <c r="D624" s="28"/>
      <c r="E624" s="29"/>
      <c r="F624" s="29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</row>
    <row r="625">
      <c r="B625" s="28"/>
      <c r="C625" s="28"/>
      <c r="D625" s="28"/>
      <c r="E625" s="29"/>
      <c r="F625" s="29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</row>
    <row r="626">
      <c r="B626" s="28"/>
      <c r="C626" s="28"/>
      <c r="D626" s="28"/>
      <c r="E626" s="29"/>
      <c r="F626" s="29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</row>
    <row r="627">
      <c r="B627" s="28"/>
      <c r="C627" s="28"/>
      <c r="D627" s="28"/>
      <c r="E627" s="29"/>
      <c r="F627" s="29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</row>
    <row r="628">
      <c r="B628" s="28"/>
      <c r="C628" s="28"/>
      <c r="D628" s="28"/>
      <c r="E628" s="29"/>
      <c r="F628" s="29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</row>
    <row r="629">
      <c r="B629" s="28"/>
      <c r="C629" s="28"/>
      <c r="D629" s="28"/>
      <c r="E629" s="29"/>
      <c r="F629" s="29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</row>
    <row r="630">
      <c r="B630" s="28"/>
      <c r="C630" s="28"/>
      <c r="D630" s="28"/>
      <c r="E630" s="29"/>
      <c r="F630" s="29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</row>
    <row r="631">
      <c r="B631" s="28"/>
      <c r="C631" s="28"/>
      <c r="D631" s="28"/>
      <c r="E631" s="29"/>
      <c r="F631" s="29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</row>
    <row r="632">
      <c r="B632" s="28"/>
      <c r="C632" s="28"/>
      <c r="D632" s="28"/>
      <c r="E632" s="29"/>
      <c r="F632" s="29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</row>
    <row r="633">
      <c r="B633" s="28"/>
      <c r="C633" s="28"/>
      <c r="D633" s="28"/>
      <c r="E633" s="29"/>
      <c r="F633" s="29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</row>
    <row r="634">
      <c r="B634" s="28"/>
      <c r="C634" s="28"/>
      <c r="D634" s="28"/>
      <c r="E634" s="29"/>
      <c r="F634" s="29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</row>
    <row r="635">
      <c r="B635" s="28"/>
      <c r="C635" s="28"/>
      <c r="D635" s="28"/>
      <c r="E635" s="29"/>
      <c r="F635" s="29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</row>
    <row r="636">
      <c r="B636" s="28"/>
      <c r="C636" s="28"/>
      <c r="D636" s="28"/>
      <c r="E636" s="29"/>
      <c r="F636" s="29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</row>
    <row r="637">
      <c r="B637" s="28"/>
      <c r="C637" s="28"/>
      <c r="D637" s="28"/>
      <c r="E637" s="29"/>
      <c r="F637" s="29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</row>
    <row r="638">
      <c r="B638" s="28"/>
      <c r="C638" s="28"/>
      <c r="D638" s="28"/>
      <c r="E638" s="29"/>
      <c r="F638" s="29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</row>
    <row r="639">
      <c r="B639" s="28"/>
      <c r="C639" s="28"/>
      <c r="D639" s="28"/>
      <c r="E639" s="29"/>
      <c r="F639" s="29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</row>
    <row r="640">
      <c r="B640" s="28"/>
      <c r="C640" s="28"/>
      <c r="D640" s="28"/>
      <c r="E640" s="29"/>
      <c r="F640" s="29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</row>
    <row r="641">
      <c r="B641" s="28"/>
      <c r="C641" s="28"/>
      <c r="D641" s="28"/>
      <c r="E641" s="29"/>
      <c r="F641" s="29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</row>
    <row r="642">
      <c r="B642" s="28"/>
      <c r="C642" s="28"/>
      <c r="D642" s="28"/>
      <c r="E642" s="29"/>
      <c r="F642" s="29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</row>
    <row r="643">
      <c r="B643" s="28"/>
      <c r="C643" s="28"/>
      <c r="D643" s="28"/>
      <c r="E643" s="29"/>
      <c r="F643" s="29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</row>
    <row r="644">
      <c r="B644" s="28"/>
      <c r="C644" s="28"/>
      <c r="D644" s="28"/>
      <c r="E644" s="29"/>
      <c r="F644" s="29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</row>
    <row r="645">
      <c r="B645" s="28"/>
      <c r="C645" s="28"/>
      <c r="D645" s="28"/>
      <c r="E645" s="29"/>
      <c r="F645" s="29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</row>
    <row r="646">
      <c r="B646" s="28"/>
      <c r="C646" s="28"/>
      <c r="D646" s="28"/>
      <c r="E646" s="29"/>
      <c r="F646" s="29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</row>
    <row r="647">
      <c r="B647" s="28"/>
      <c r="C647" s="28"/>
      <c r="D647" s="28"/>
      <c r="E647" s="29"/>
      <c r="F647" s="29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</row>
    <row r="648">
      <c r="B648" s="28"/>
      <c r="C648" s="28"/>
      <c r="D648" s="28"/>
      <c r="E648" s="29"/>
      <c r="F648" s="29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</row>
    <row r="649">
      <c r="B649" s="28"/>
      <c r="C649" s="28"/>
      <c r="D649" s="28"/>
      <c r="E649" s="29"/>
      <c r="F649" s="29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</row>
    <row r="650">
      <c r="B650" s="28"/>
      <c r="C650" s="28"/>
      <c r="D650" s="28"/>
      <c r="E650" s="29"/>
      <c r="F650" s="29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</row>
    <row r="651">
      <c r="B651" s="28"/>
      <c r="C651" s="28"/>
      <c r="D651" s="28"/>
      <c r="E651" s="29"/>
      <c r="F651" s="29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</row>
    <row r="652">
      <c r="B652" s="28"/>
      <c r="C652" s="28"/>
      <c r="D652" s="28"/>
      <c r="E652" s="29"/>
      <c r="F652" s="29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</row>
    <row r="653">
      <c r="B653" s="28"/>
      <c r="C653" s="28"/>
      <c r="D653" s="28"/>
      <c r="E653" s="29"/>
      <c r="F653" s="29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</row>
    <row r="654">
      <c r="B654" s="28"/>
      <c r="C654" s="28"/>
      <c r="D654" s="28"/>
      <c r="E654" s="29"/>
      <c r="F654" s="29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</row>
    <row r="655">
      <c r="B655" s="28"/>
      <c r="C655" s="28"/>
      <c r="D655" s="28"/>
      <c r="E655" s="29"/>
      <c r="F655" s="29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</row>
    <row r="656">
      <c r="B656" s="28"/>
      <c r="C656" s="28"/>
      <c r="D656" s="28"/>
      <c r="E656" s="29"/>
      <c r="F656" s="29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</row>
    <row r="657">
      <c r="B657" s="28"/>
      <c r="C657" s="28"/>
      <c r="D657" s="28"/>
      <c r="E657" s="29"/>
      <c r="F657" s="29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</row>
    <row r="658">
      <c r="B658" s="28"/>
      <c r="C658" s="28"/>
      <c r="D658" s="28"/>
      <c r="E658" s="29"/>
      <c r="F658" s="29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</row>
    <row r="659">
      <c r="B659" s="28"/>
      <c r="C659" s="28"/>
      <c r="D659" s="28"/>
      <c r="E659" s="29"/>
      <c r="F659" s="29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</row>
    <row r="660">
      <c r="B660" s="28"/>
      <c r="C660" s="28"/>
      <c r="D660" s="28"/>
      <c r="E660" s="29"/>
      <c r="F660" s="29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</row>
    <row r="661">
      <c r="B661" s="28"/>
      <c r="C661" s="28"/>
      <c r="D661" s="28"/>
      <c r="E661" s="29"/>
      <c r="F661" s="29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</row>
    <row r="662">
      <c r="B662" s="28"/>
      <c r="C662" s="28"/>
      <c r="D662" s="28"/>
      <c r="E662" s="29"/>
      <c r="F662" s="29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</row>
    <row r="663">
      <c r="B663" s="28"/>
      <c r="C663" s="28"/>
      <c r="D663" s="28"/>
      <c r="E663" s="29"/>
      <c r="F663" s="29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</row>
    <row r="664">
      <c r="B664" s="28"/>
      <c r="C664" s="28"/>
      <c r="D664" s="28"/>
      <c r="E664" s="29"/>
      <c r="F664" s="29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</row>
    <row r="665">
      <c r="B665" s="28"/>
      <c r="C665" s="28"/>
      <c r="D665" s="28"/>
      <c r="E665" s="29"/>
      <c r="F665" s="29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</row>
    <row r="666">
      <c r="B666" s="28"/>
      <c r="C666" s="28"/>
      <c r="D666" s="28"/>
      <c r="E666" s="29"/>
      <c r="F666" s="29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</row>
    <row r="667">
      <c r="B667" s="28"/>
      <c r="C667" s="28"/>
      <c r="D667" s="28"/>
      <c r="E667" s="29"/>
      <c r="F667" s="29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</row>
    <row r="668">
      <c r="B668" s="28"/>
      <c r="C668" s="28"/>
      <c r="D668" s="28"/>
      <c r="E668" s="29"/>
      <c r="F668" s="29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</row>
    <row r="669">
      <c r="B669" s="28"/>
      <c r="C669" s="28"/>
      <c r="D669" s="28"/>
      <c r="E669" s="29"/>
      <c r="F669" s="29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</row>
    <row r="670">
      <c r="B670" s="28"/>
      <c r="C670" s="28"/>
      <c r="D670" s="28"/>
      <c r="E670" s="29"/>
      <c r="F670" s="29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</row>
    <row r="671">
      <c r="B671" s="28"/>
      <c r="C671" s="28"/>
      <c r="D671" s="28"/>
      <c r="E671" s="29"/>
      <c r="F671" s="29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</row>
    <row r="672">
      <c r="B672" s="28"/>
      <c r="C672" s="28"/>
      <c r="D672" s="28"/>
      <c r="E672" s="29"/>
      <c r="F672" s="29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</row>
    <row r="673">
      <c r="B673" s="28"/>
      <c r="C673" s="28"/>
      <c r="D673" s="28"/>
      <c r="E673" s="29"/>
      <c r="F673" s="29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</row>
    <row r="674">
      <c r="B674" s="28"/>
      <c r="C674" s="28"/>
      <c r="D674" s="28"/>
      <c r="E674" s="29"/>
      <c r="F674" s="29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</row>
    <row r="675">
      <c r="B675" s="28"/>
      <c r="C675" s="28"/>
      <c r="D675" s="28"/>
      <c r="E675" s="29"/>
      <c r="F675" s="29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</row>
    <row r="676">
      <c r="B676" s="28"/>
      <c r="C676" s="28"/>
      <c r="D676" s="28"/>
      <c r="E676" s="29"/>
      <c r="F676" s="29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</row>
    <row r="677">
      <c r="B677" s="28"/>
      <c r="C677" s="28"/>
      <c r="D677" s="28"/>
      <c r="E677" s="29"/>
      <c r="F677" s="29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</row>
    <row r="678">
      <c r="B678" s="28"/>
      <c r="C678" s="28"/>
      <c r="D678" s="28"/>
      <c r="E678" s="29"/>
      <c r="F678" s="29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</row>
    <row r="679">
      <c r="B679" s="28"/>
      <c r="C679" s="28"/>
      <c r="D679" s="28"/>
      <c r="E679" s="29"/>
      <c r="F679" s="29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</row>
    <row r="680">
      <c r="B680" s="28"/>
      <c r="C680" s="28"/>
      <c r="D680" s="28"/>
      <c r="E680" s="29"/>
      <c r="F680" s="29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</row>
    <row r="681">
      <c r="B681" s="28"/>
      <c r="C681" s="28"/>
      <c r="D681" s="28"/>
      <c r="E681" s="29"/>
      <c r="F681" s="29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</row>
    <row r="682">
      <c r="B682" s="28"/>
      <c r="C682" s="28"/>
      <c r="D682" s="28"/>
      <c r="E682" s="29"/>
      <c r="F682" s="29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</row>
    <row r="683">
      <c r="B683" s="28"/>
      <c r="C683" s="28"/>
      <c r="D683" s="28"/>
      <c r="E683" s="29"/>
      <c r="F683" s="29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</row>
    <row r="684">
      <c r="B684" s="28"/>
      <c r="C684" s="28"/>
      <c r="D684" s="28"/>
      <c r="E684" s="29"/>
      <c r="F684" s="29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</row>
    <row r="685">
      <c r="B685" s="28"/>
      <c r="C685" s="28"/>
      <c r="D685" s="28"/>
      <c r="E685" s="29"/>
      <c r="F685" s="29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</row>
    <row r="686">
      <c r="B686" s="28"/>
      <c r="C686" s="28"/>
      <c r="D686" s="28"/>
      <c r="E686" s="29"/>
      <c r="F686" s="29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</row>
    <row r="687">
      <c r="B687" s="28"/>
      <c r="C687" s="28"/>
      <c r="D687" s="28"/>
      <c r="E687" s="29"/>
      <c r="F687" s="29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</row>
    <row r="688">
      <c r="B688" s="28"/>
      <c r="C688" s="28"/>
      <c r="D688" s="28"/>
      <c r="E688" s="29"/>
      <c r="F688" s="29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</row>
    <row r="689">
      <c r="B689" s="28"/>
      <c r="C689" s="28"/>
      <c r="D689" s="28"/>
      <c r="E689" s="29"/>
      <c r="F689" s="29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</row>
    <row r="690">
      <c r="B690" s="28"/>
      <c r="C690" s="28"/>
      <c r="D690" s="28"/>
      <c r="E690" s="29"/>
      <c r="F690" s="29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</row>
    <row r="691">
      <c r="B691" s="28"/>
      <c r="C691" s="28"/>
      <c r="D691" s="28"/>
      <c r="E691" s="29"/>
      <c r="F691" s="29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</row>
    <row r="692">
      <c r="B692" s="28"/>
      <c r="C692" s="28"/>
      <c r="D692" s="28"/>
      <c r="E692" s="29"/>
      <c r="F692" s="29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</row>
    <row r="693">
      <c r="B693" s="28"/>
      <c r="C693" s="28"/>
      <c r="D693" s="28"/>
      <c r="E693" s="29"/>
      <c r="F693" s="29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</row>
    <row r="694">
      <c r="B694" s="28"/>
      <c r="C694" s="28"/>
      <c r="D694" s="28"/>
      <c r="E694" s="29"/>
      <c r="F694" s="29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</row>
    <row r="695">
      <c r="B695" s="28"/>
      <c r="C695" s="28"/>
      <c r="D695" s="28"/>
      <c r="E695" s="29"/>
      <c r="F695" s="29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</row>
    <row r="696">
      <c r="B696" s="28"/>
      <c r="C696" s="28"/>
      <c r="D696" s="28"/>
      <c r="E696" s="29"/>
      <c r="F696" s="29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</row>
    <row r="697">
      <c r="B697" s="28"/>
      <c r="C697" s="28"/>
      <c r="D697" s="28"/>
      <c r="E697" s="29"/>
      <c r="F697" s="29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</row>
    <row r="698">
      <c r="B698" s="28"/>
      <c r="C698" s="28"/>
      <c r="D698" s="28"/>
      <c r="E698" s="29"/>
      <c r="F698" s="29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</row>
    <row r="699">
      <c r="B699" s="28"/>
      <c r="C699" s="28"/>
      <c r="D699" s="28"/>
      <c r="E699" s="29"/>
      <c r="F699" s="29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</row>
    <row r="700">
      <c r="B700" s="28"/>
      <c r="C700" s="28"/>
      <c r="D700" s="28"/>
      <c r="E700" s="29"/>
      <c r="F700" s="29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</row>
    <row r="701">
      <c r="B701" s="28"/>
      <c r="C701" s="28"/>
      <c r="D701" s="28"/>
      <c r="E701" s="29"/>
      <c r="F701" s="29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</row>
    <row r="702">
      <c r="B702" s="28"/>
      <c r="C702" s="28"/>
      <c r="D702" s="28"/>
      <c r="E702" s="29"/>
      <c r="F702" s="29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</row>
    <row r="703">
      <c r="B703" s="28"/>
      <c r="C703" s="28"/>
      <c r="D703" s="28"/>
      <c r="E703" s="29"/>
      <c r="F703" s="29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</row>
    <row r="704">
      <c r="B704" s="28"/>
      <c r="C704" s="28"/>
      <c r="D704" s="28"/>
      <c r="E704" s="29"/>
      <c r="F704" s="29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</row>
    <row r="705">
      <c r="B705" s="28"/>
      <c r="C705" s="28"/>
      <c r="D705" s="28"/>
      <c r="E705" s="29"/>
      <c r="F705" s="29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</row>
    <row r="706">
      <c r="B706" s="28"/>
      <c r="C706" s="28"/>
      <c r="D706" s="28"/>
      <c r="E706" s="29"/>
      <c r="F706" s="29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</row>
    <row r="707">
      <c r="B707" s="28"/>
      <c r="C707" s="28"/>
      <c r="D707" s="28"/>
      <c r="E707" s="29"/>
      <c r="F707" s="29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</row>
    <row r="708">
      <c r="B708" s="28"/>
      <c r="C708" s="28"/>
      <c r="D708" s="28"/>
      <c r="E708" s="29"/>
      <c r="F708" s="29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</row>
    <row r="709">
      <c r="B709" s="28"/>
      <c r="C709" s="28"/>
      <c r="D709" s="28"/>
      <c r="E709" s="29"/>
      <c r="F709" s="29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</row>
    <row r="710">
      <c r="B710" s="28"/>
      <c r="C710" s="28"/>
      <c r="D710" s="28"/>
      <c r="E710" s="29"/>
      <c r="F710" s="29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</row>
    <row r="711">
      <c r="B711" s="28"/>
      <c r="C711" s="28"/>
      <c r="D711" s="28"/>
      <c r="E711" s="29"/>
      <c r="F711" s="29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</row>
    <row r="712">
      <c r="B712" s="28"/>
      <c r="C712" s="28"/>
      <c r="D712" s="28"/>
      <c r="E712" s="29"/>
      <c r="F712" s="29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</row>
    <row r="713">
      <c r="B713" s="28"/>
      <c r="C713" s="28"/>
      <c r="D713" s="28"/>
      <c r="E713" s="29"/>
      <c r="F713" s="29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</row>
    <row r="714">
      <c r="B714" s="28"/>
      <c r="C714" s="28"/>
      <c r="D714" s="28"/>
      <c r="E714" s="29"/>
      <c r="F714" s="29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</row>
    <row r="715">
      <c r="B715" s="28"/>
      <c r="C715" s="28"/>
      <c r="D715" s="28"/>
      <c r="E715" s="29"/>
      <c r="F715" s="29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</row>
    <row r="716">
      <c r="B716" s="28"/>
      <c r="C716" s="28"/>
      <c r="D716" s="28"/>
      <c r="E716" s="29"/>
      <c r="F716" s="29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</row>
    <row r="717">
      <c r="B717" s="28"/>
      <c r="C717" s="28"/>
      <c r="D717" s="28"/>
      <c r="E717" s="29"/>
      <c r="F717" s="29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</row>
    <row r="718">
      <c r="B718" s="28"/>
      <c r="C718" s="28"/>
      <c r="D718" s="28"/>
      <c r="E718" s="29"/>
      <c r="F718" s="29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</row>
    <row r="719">
      <c r="B719" s="28"/>
      <c r="C719" s="28"/>
      <c r="D719" s="28"/>
      <c r="E719" s="29"/>
      <c r="F719" s="29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</row>
    <row r="720">
      <c r="B720" s="28"/>
      <c r="C720" s="28"/>
      <c r="D720" s="28"/>
      <c r="E720" s="29"/>
      <c r="F720" s="29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</row>
    <row r="721">
      <c r="B721" s="28"/>
      <c r="C721" s="28"/>
      <c r="D721" s="28"/>
      <c r="E721" s="29"/>
      <c r="F721" s="29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</row>
    <row r="722">
      <c r="B722" s="28"/>
      <c r="C722" s="28"/>
      <c r="D722" s="28"/>
      <c r="E722" s="29"/>
      <c r="F722" s="29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</row>
    <row r="723">
      <c r="B723" s="28"/>
      <c r="C723" s="28"/>
      <c r="D723" s="28"/>
      <c r="E723" s="29"/>
      <c r="F723" s="29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</row>
    <row r="724">
      <c r="B724" s="28"/>
      <c r="C724" s="28"/>
      <c r="D724" s="28"/>
      <c r="E724" s="29"/>
      <c r="F724" s="29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</row>
    <row r="725">
      <c r="B725" s="28"/>
      <c r="C725" s="28"/>
      <c r="D725" s="28"/>
      <c r="E725" s="29"/>
      <c r="F725" s="29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</row>
    <row r="726">
      <c r="B726" s="28"/>
      <c r="C726" s="28"/>
      <c r="D726" s="28"/>
      <c r="E726" s="29"/>
      <c r="F726" s="29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</row>
    <row r="727">
      <c r="B727" s="28"/>
      <c r="C727" s="28"/>
      <c r="D727" s="28"/>
      <c r="E727" s="29"/>
      <c r="F727" s="29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</row>
    <row r="728">
      <c r="B728" s="28"/>
      <c r="C728" s="28"/>
      <c r="D728" s="28"/>
      <c r="E728" s="29"/>
      <c r="F728" s="29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</row>
    <row r="729">
      <c r="B729" s="28"/>
      <c r="C729" s="28"/>
      <c r="D729" s="28"/>
      <c r="E729" s="29"/>
      <c r="F729" s="29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</row>
    <row r="730">
      <c r="B730" s="28"/>
      <c r="C730" s="28"/>
      <c r="D730" s="28"/>
      <c r="E730" s="29"/>
      <c r="F730" s="29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</row>
    <row r="731">
      <c r="B731" s="28"/>
      <c r="C731" s="28"/>
      <c r="D731" s="28"/>
      <c r="E731" s="29"/>
      <c r="F731" s="29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</row>
    <row r="732">
      <c r="B732" s="28"/>
      <c r="C732" s="28"/>
      <c r="D732" s="28"/>
      <c r="E732" s="29"/>
      <c r="F732" s="29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</row>
    <row r="733">
      <c r="B733" s="28"/>
      <c r="C733" s="28"/>
      <c r="D733" s="28"/>
      <c r="E733" s="29"/>
      <c r="F733" s="29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</row>
    <row r="734">
      <c r="B734" s="28"/>
      <c r="C734" s="28"/>
      <c r="D734" s="28"/>
      <c r="E734" s="29"/>
      <c r="F734" s="29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</row>
    <row r="735">
      <c r="B735" s="28"/>
      <c r="C735" s="28"/>
      <c r="D735" s="28"/>
      <c r="E735" s="29"/>
      <c r="F735" s="29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</row>
    <row r="736">
      <c r="B736" s="28"/>
      <c r="C736" s="28"/>
      <c r="D736" s="28"/>
      <c r="E736" s="29"/>
      <c r="F736" s="29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</row>
    <row r="737">
      <c r="B737" s="28"/>
      <c r="C737" s="28"/>
      <c r="D737" s="28"/>
      <c r="E737" s="29"/>
      <c r="F737" s="29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</row>
    <row r="738">
      <c r="B738" s="28"/>
      <c r="C738" s="28"/>
      <c r="D738" s="28"/>
      <c r="E738" s="29"/>
      <c r="F738" s="29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</row>
    <row r="739">
      <c r="B739" s="28"/>
      <c r="C739" s="28"/>
      <c r="D739" s="28"/>
      <c r="E739" s="29"/>
      <c r="F739" s="29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</row>
    <row r="740">
      <c r="B740" s="28"/>
      <c r="C740" s="28"/>
      <c r="D740" s="28"/>
      <c r="E740" s="29"/>
      <c r="F740" s="29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</row>
    <row r="741">
      <c r="B741" s="28"/>
      <c r="C741" s="28"/>
      <c r="D741" s="28"/>
      <c r="E741" s="29"/>
      <c r="F741" s="29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</row>
    <row r="742">
      <c r="B742" s="28"/>
      <c r="C742" s="28"/>
      <c r="D742" s="28"/>
      <c r="E742" s="29"/>
      <c r="F742" s="29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</row>
    <row r="743">
      <c r="B743" s="28"/>
      <c r="C743" s="28"/>
      <c r="D743" s="28"/>
      <c r="E743" s="29"/>
      <c r="F743" s="29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</row>
    <row r="744">
      <c r="B744" s="28"/>
      <c r="C744" s="28"/>
      <c r="D744" s="28"/>
      <c r="E744" s="29"/>
      <c r="F744" s="29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</row>
    <row r="745">
      <c r="B745" s="28"/>
      <c r="C745" s="28"/>
      <c r="D745" s="28"/>
      <c r="E745" s="29"/>
      <c r="F745" s="29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</row>
    <row r="746">
      <c r="B746" s="28"/>
      <c r="C746" s="28"/>
      <c r="D746" s="28"/>
      <c r="E746" s="29"/>
      <c r="F746" s="29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</row>
    <row r="747">
      <c r="B747" s="28"/>
      <c r="C747" s="28"/>
      <c r="D747" s="28"/>
      <c r="E747" s="29"/>
      <c r="F747" s="29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</row>
    <row r="748">
      <c r="B748" s="28"/>
      <c r="C748" s="28"/>
      <c r="D748" s="28"/>
      <c r="E748" s="29"/>
      <c r="F748" s="29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</row>
    <row r="749">
      <c r="B749" s="28"/>
      <c r="C749" s="28"/>
      <c r="D749" s="28"/>
      <c r="E749" s="29"/>
      <c r="F749" s="29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</row>
    <row r="750">
      <c r="B750" s="28"/>
      <c r="C750" s="28"/>
      <c r="D750" s="28"/>
      <c r="E750" s="29"/>
      <c r="F750" s="29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</row>
    <row r="751">
      <c r="B751" s="28"/>
      <c r="C751" s="28"/>
      <c r="D751" s="28"/>
      <c r="E751" s="29"/>
      <c r="F751" s="29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</row>
    <row r="752">
      <c r="B752" s="28"/>
      <c r="C752" s="28"/>
      <c r="D752" s="28"/>
      <c r="E752" s="29"/>
      <c r="F752" s="29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</row>
    <row r="753">
      <c r="B753" s="28"/>
      <c r="C753" s="28"/>
      <c r="D753" s="28"/>
      <c r="E753" s="29"/>
      <c r="F753" s="29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</row>
    <row r="754">
      <c r="B754" s="28"/>
      <c r="C754" s="28"/>
      <c r="D754" s="28"/>
      <c r="E754" s="29"/>
      <c r="F754" s="29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</row>
    <row r="755">
      <c r="B755" s="28"/>
      <c r="C755" s="28"/>
      <c r="D755" s="28"/>
      <c r="E755" s="29"/>
      <c r="F755" s="29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</row>
    <row r="756">
      <c r="B756" s="28"/>
      <c r="C756" s="28"/>
      <c r="D756" s="28"/>
      <c r="E756" s="29"/>
      <c r="F756" s="29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</row>
    <row r="757">
      <c r="B757" s="28"/>
      <c r="C757" s="28"/>
      <c r="D757" s="28"/>
      <c r="E757" s="29"/>
      <c r="F757" s="29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</row>
    <row r="758">
      <c r="B758" s="28"/>
      <c r="C758" s="28"/>
      <c r="D758" s="28"/>
      <c r="E758" s="29"/>
      <c r="F758" s="29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</row>
    <row r="759">
      <c r="B759" s="28"/>
      <c r="C759" s="28"/>
      <c r="D759" s="28"/>
      <c r="E759" s="29"/>
      <c r="F759" s="29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</row>
    <row r="760">
      <c r="B760" s="28"/>
      <c r="C760" s="28"/>
      <c r="D760" s="28"/>
      <c r="E760" s="29"/>
      <c r="F760" s="29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</row>
    <row r="761">
      <c r="B761" s="28"/>
      <c r="C761" s="28"/>
      <c r="D761" s="28"/>
      <c r="E761" s="29"/>
      <c r="F761" s="29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</row>
    <row r="762">
      <c r="B762" s="28"/>
      <c r="C762" s="28"/>
      <c r="D762" s="28"/>
      <c r="E762" s="29"/>
      <c r="F762" s="29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</row>
    <row r="763">
      <c r="B763" s="28"/>
      <c r="C763" s="28"/>
      <c r="D763" s="28"/>
      <c r="E763" s="29"/>
      <c r="F763" s="29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</row>
    <row r="764">
      <c r="B764" s="28"/>
      <c r="C764" s="28"/>
      <c r="D764" s="28"/>
      <c r="E764" s="29"/>
      <c r="F764" s="29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</row>
    <row r="765">
      <c r="B765" s="28"/>
      <c r="C765" s="28"/>
      <c r="D765" s="28"/>
      <c r="E765" s="29"/>
      <c r="F765" s="29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</row>
    <row r="766">
      <c r="B766" s="28"/>
      <c r="C766" s="28"/>
      <c r="D766" s="28"/>
      <c r="E766" s="29"/>
      <c r="F766" s="29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</row>
    <row r="767">
      <c r="B767" s="28"/>
      <c r="C767" s="28"/>
      <c r="D767" s="28"/>
      <c r="E767" s="29"/>
      <c r="F767" s="29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</row>
    <row r="768">
      <c r="B768" s="28"/>
      <c r="C768" s="28"/>
      <c r="D768" s="28"/>
      <c r="E768" s="29"/>
      <c r="F768" s="29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</row>
    <row r="769">
      <c r="B769" s="28"/>
      <c r="C769" s="28"/>
      <c r="D769" s="28"/>
      <c r="E769" s="29"/>
      <c r="F769" s="29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</row>
    <row r="770">
      <c r="B770" s="28"/>
      <c r="C770" s="28"/>
      <c r="D770" s="28"/>
      <c r="E770" s="29"/>
      <c r="F770" s="29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</row>
    <row r="771">
      <c r="B771" s="28"/>
      <c r="C771" s="28"/>
      <c r="D771" s="28"/>
      <c r="E771" s="29"/>
      <c r="F771" s="29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</row>
    <row r="772">
      <c r="B772" s="28"/>
      <c r="C772" s="28"/>
      <c r="D772" s="28"/>
      <c r="E772" s="29"/>
      <c r="F772" s="29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</row>
    <row r="773">
      <c r="B773" s="28"/>
      <c r="C773" s="28"/>
      <c r="D773" s="28"/>
      <c r="E773" s="29"/>
      <c r="F773" s="29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</row>
    <row r="774">
      <c r="B774" s="28"/>
      <c r="C774" s="28"/>
      <c r="D774" s="28"/>
      <c r="E774" s="29"/>
      <c r="F774" s="29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</row>
    <row r="775">
      <c r="B775" s="28"/>
      <c r="C775" s="28"/>
      <c r="D775" s="28"/>
      <c r="E775" s="29"/>
      <c r="F775" s="29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</row>
    <row r="776">
      <c r="B776" s="28"/>
      <c r="C776" s="28"/>
      <c r="D776" s="28"/>
      <c r="E776" s="29"/>
      <c r="F776" s="29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</row>
    <row r="777">
      <c r="B777" s="28"/>
      <c r="C777" s="28"/>
      <c r="D777" s="28"/>
      <c r="E777" s="29"/>
      <c r="F777" s="29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</row>
    <row r="778">
      <c r="B778" s="28"/>
      <c r="C778" s="28"/>
      <c r="D778" s="28"/>
      <c r="E778" s="29"/>
      <c r="F778" s="29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</row>
    <row r="779">
      <c r="B779" s="28"/>
      <c r="C779" s="28"/>
      <c r="D779" s="28"/>
      <c r="E779" s="29"/>
      <c r="F779" s="29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</row>
    <row r="780">
      <c r="B780" s="28"/>
      <c r="C780" s="28"/>
      <c r="D780" s="28"/>
      <c r="E780" s="29"/>
      <c r="F780" s="29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</row>
    <row r="781">
      <c r="B781" s="28"/>
      <c r="C781" s="28"/>
      <c r="D781" s="28"/>
      <c r="E781" s="29"/>
      <c r="F781" s="29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</row>
    <row r="782">
      <c r="B782" s="28"/>
      <c r="C782" s="28"/>
      <c r="D782" s="28"/>
      <c r="E782" s="29"/>
      <c r="F782" s="29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</row>
    <row r="783">
      <c r="B783" s="28"/>
      <c r="C783" s="28"/>
      <c r="D783" s="28"/>
      <c r="E783" s="29"/>
      <c r="F783" s="29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</row>
    <row r="784">
      <c r="B784" s="28"/>
      <c r="C784" s="28"/>
      <c r="D784" s="28"/>
      <c r="E784" s="29"/>
      <c r="F784" s="29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</row>
    <row r="785">
      <c r="B785" s="28"/>
      <c r="C785" s="28"/>
      <c r="D785" s="28"/>
      <c r="E785" s="29"/>
      <c r="F785" s="29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</row>
    <row r="786">
      <c r="B786" s="28"/>
      <c r="C786" s="28"/>
      <c r="D786" s="28"/>
      <c r="E786" s="29"/>
      <c r="F786" s="29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</row>
    <row r="787">
      <c r="B787" s="28"/>
      <c r="C787" s="28"/>
      <c r="D787" s="28"/>
      <c r="E787" s="29"/>
      <c r="F787" s="29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</row>
    <row r="788">
      <c r="B788" s="28"/>
      <c r="C788" s="28"/>
      <c r="D788" s="28"/>
      <c r="E788" s="29"/>
      <c r="F788" s="29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</row>
    <row r="789">
      <c r="B789" s="28"/>
      <c r="C789" s="28"/>
      <c r="D789" s="28"/>
      <c r="E789" s="29"/>
      <c r="F789" s="29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</row>
    <row r="790">
      <c r="B790" s="28"/>
      <c r="C790" s="28"/>
      <c r="D790" s="28"/>
      <c r="E790" s="29"/>
      <c r="F790" s="29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</row>
    <row r="791">
      <c r="B791" s="28"/>
      <c r="C791" s="28"/>
      <c r="D791" s="28"/>
      <c r="E791" s="29"/>
      <c r="F791" s="29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</row>
    <row r="792">
      <c r="B792" s="28"/>
      <c r="C792" s="28"/>
      <c r="D792" s="28"/>
      <c r="E792" s="29"/>
      <c r="F792" s="29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</row>
    <row r="793">
      <c r="B793" s="28"/>
      <c r="C793" s="28"/>
      <c r="D793" s="28"/>
      <c r="E793" s="29"/>
      <c r="F793" s="29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</row>
    <row r="794">
      <c r="B794" s="28"/>
      <c r="C794" s="28"/>
      <c r="D794" s="28"/>
      <c r="E794" s="29"/>
      <c r="F794" s="29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</row>
    <row r="795">
      <c r="B795" s="28"/>
      <c r="C795" s="28"/>
      <c r="D795" s="28"/>
      <c r="E795" s="29"/>
      <c r="F795" s="29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</row>
    <row r="796">
      <c r="B796" s="28"/>
      <c r="C796" s="28"/>
      <c r="D796" s="28"/>
      <c r="E796" s="29"/>
      <c r="F796" s="29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</row>
    <row r="797">
      <c r="B797" s="28"/>
      <c r="C797" s="28"/>
      <c r="D797" s="28"/>
      <c r="E797" s="29"/>
      <c r="F797" s="29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</row>
    <row r="798">
      <c r="B798" s="28"/>
      <c r="C798" s="28"/>
      <c r="D798" s="28"/>
      <c r="E798" s="29"/>
      <c r="F798" s="29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</row>
    <row r="799">
      <c r="B799" s="28"/>
      <c r="C799" s="28"/>
      <c r="D799" s="28"/>
      <c r="E799" s="29"/>
      <c r="F799" s="29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</row>
    <row r="800">
      <c r="B800" s="28"/>
      <c r="C800" s="28"/>
      <c r="D800" s="28"/>
      <c r="E800" s="29"/>
      <c r="F800" s="29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</row>
    <row r="801">
      <c r="B801" s="28"/>
      <c r="C801" s="28"/>
      <c r="D801" s="28"/>
      <c r="E801" s="29"/>
      <c r="F801" s="29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</row>
    <row r="802">
      <c r="B802" s="28"/>
      <c r="C802" s="28"/>
      <c r="D802" s="28"/>
      <c r="E802" s="29"/>
      <c r="F802" s="29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</row>
    <row r="803">
      <c r="B803" s="28"/>
      <c r="C803" s="28"/>
      <c r="D803" s="28"/>
      <c r="E803" s="29"/>
      <c r="F803" s="29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</row>
    <row r="804">
      <c r="B804" s="28"/>
      <c r="C804" s="28"/>
      <c r="D804" s="28"/>
      <c r="E804" s="29"/>
      <c r="F804" s="29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</row>
    <row r="805">
      <c r="B805" s="28"/>
      <c r="C805" s="28"/>
      <c r="D805" s="28"/>
      <c r="E805" s="29"/>
      <c r="F805" s="29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</row>
    <row r="806">
      <c r="B806" s="28"/>
      <c r="C806" s="28"/>
      <c r="D806" s="28"/>
      <c r="E806" s="29"/>
      <c r="F806" s="29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</row>
    <row r="807">
      <c r="B807" s="28"/>
      <c r="C807" s="28"/>
      <c r="D807" s="28"/>
      <c r="E807" s="29"/>
      <c r="F807" s="29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</row>
    <row r="808">
      <c r="B808" s="28"/>
      <c r="C808" s="28"/>
      <c r="D808" s="28"/>
      <c r="E808" s="29"/>
      <c r="F808" s="29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</row>
    <row r="809">
      <c r="B809" s="28"/>
      <c r="C809" s="28"/>
      <c r="D809" s="28"/>
      <c r="E809" s="29"/>
      <c r="F809" s="29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</row>
    <row r="810">
      <c r="B810" s="28"/>
      <c r="C810" s="28"/>
      <c r="D810" s="28"/>
      <c r="E810" s="29"/>
      <c r="F810" s="29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</row>
    <row r="811">
      <c r="B811" s="28"/>
      <c r="C811" s="28"/>
      <c r="D811" s="28"/>
      <c r="E811" s="29"/>
      <c r="F811" s="29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</row>
    <row r="812">
      <c r="B812" s="28"/>
      <c r="C812" s="28"/>
      <c r="D812" s="28"/>
      <c r="E812" s="29"/>
      <c r="F812" s="29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</row>
    <row r="813">
      <c r="B813" s="28"/>
      <c r="C813" s="28"/>
      <c r="D813" s="28"/>
      <c r="E813" s="29"/>
      <c r="F813" s="29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</row>
    <row r="814">
      <c r="B814" s="28"/>
      <c r="C814" s="28"/>
      <c r="D814" s="28"/>
      <c r="E814" s="29"/>
      <c r="F814" s="29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</row>
    <row r="815">
      <c r="B815" s="28"/>
      <c r="C815" s="28"/>
      <c r="D815" s="28"/>
      <c r="E815" s="29"/>
      <c r="F815" s="29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</row>
    <row r="816">
      <c r="B816" s="28"/>
      <c r="C816" s="28"/>
      <c r="D816" s="28"/>
      <c r="E816" s="29"/>
      <c r="F816" s="29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</row>
    <row r="817">
      <c r="B817" s="28"/>
      <c r="C817" s="28"/>
      <c r="D817" s="28"/>
      <c r="E817" s="29"/>
      <c r="F817" s="29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</row>
    <row r="818">
      <c r="B818" s="28"/>
      <c r="C818" s="28"/>
      <c r="D818" s="28"/>
      <c r="E818" s="29"/>
      <c r="F818" s="29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</row>
    <row r="819">
      <c r="B819" s="28"/>
      <c r="C819" s="28"/>
      <c r="D819" s="28"/>
      <c r="E819" s="29"/>
      <c r="F819" s="29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</row>
    <row r="820">
      <c r="B820" s="28"/>
      <c r="C820" s="28"/>
      <c r="D820" s="28"/>
      <c r="E820" s="29"/>
      <c r="F820" s="29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</row>
    <row r="821">
      <c r="B821" s="28"/>
      <c r="C821" s="28"/>
      <c r="D821" s="28"/>
      <c r="E821" s="29"/>
      <c r="F821" s="29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</row>
    <row r="822">
      <c r="B822" s="28"/>
      <c r="C822" s="28"/>
      <c r="D822" s="28"/>
      <c r="E822" s="29"/>
      <c r="F822" s="29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</row>
    <row r="823">
      <c r="B823" s="28"/>
      <c r="C823" s="28"/>
      <c r="D823" s="28"/>
      <c r="E823" s="29"/>
      <c r="F823" s="29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</row>
    <row r="824">
      <c r="B824" s="28"/>
      <c r="C824" s="28"/>
      <c r="D824" s="28"/>
      <c r="E824" s="29"/>
      <c r="F824" s="29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</row>
    <row r="825">
      <c r="B825" s="28"/>
      <c r="C825" s="28"/>
      <c r="D825" s="28"/>
      <c r="E825" s="29"/>
      <c r="F825" s="29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</row>
    <row r="826">
      <c r="B826" s="28"/>
      <c r="C826" s="28"/>
      <c r="D826" s="28"/>
      <c r="E826" s="29"/>
      <c r="F826" s="29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</row>
    <row r="827">
      <c r="B827" s="28"/>
      <c r="C827" s="28"/>
      <c r="D827" s="28"/>
      <c r="E827" s="29"/>
      <c r="F827" s="29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</row>
    <row r="828">
      <c r="B828" s="28"/>
      <c r="C828" s="28"/>
      <c r="D828" s="28"/>
      <c r="E828" s="29"/>
      <c r="F828" s="29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</row>
    <row r="829">
      <c r="B829" s="28"/>
      <c r="C829" s="28"/>
      <c r="D829" s="28"/>
      <c r="E829" s="29"/>
      <c r="F829" s="29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</row>
    <row r="830">
      <c r="B830" s="28"/>
      <c r="C830" s="28"/>
      <c r="D830" s="28"/>
      <c r="E830" s="29"/>
      <c r="F830" s="29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</row>
    <row r="831">
      <c r="B831" s="28"/>
      <c r="C831" s="28"/>
      <c r="D831" s="28"/>
      <c r="E831" s="29"/>
      <c r="F831" s="29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</row>
    <row r="832">
      <c r="B832" s="28"/>
      <c r="C832" s="28"/>
      <c r="D832" s="28"/>
      <c r="E832" s="29"/>
      <c r="F832" s="29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</row>
    <row r="833">
      <c r="B833" s="28"/>
      <c r="C833" s="28"/>
      <c r="D833" s="28"/>
      <c r="E833" s="29"/>
      <c r="F833" s="29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</row>
    <row r="834">
      <c r="B834" s="28"/>
      <c r="C834" s="28"/>
      <c r="D834" s="28"/>
      <c r="E834" s="29"/>
      <c r="F834" s="29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</row>
    <row r="835">
      <c r="B835" s="28"/>
      <c r="C835" s="28"/>
      <c r="D835" s="28"/>
      <c r="E835" s="29"/>
      <c r="F835" s="29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</row>
    <row r="836">
      <c r="B836" s="28"/>
      <c r="C836" s="28"/>
      <c r="D836" s="28"/>
      <c r="E836" s="29"/>
      <c r="F836" s="29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</row>
    <row r="837">
      <c r="B837" s="28"/>
      <c r="C837" s="28"/>
      <c r="D837" s="28"/>
      <c r="E837" s="29"/>
      <c r="F837" s="29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</row>
    <row r="838">
      <c r="B838" s="28"/>
      <c r="C838" s="28"/>
      <c r="D838" s="28"/>
      <c r="E838" s="29"/>
      <c r="F838" s="29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</row>
    <row r="839">
      <c r="B839" s="28"/>
      <c r="C839" s="28"/>
      <c r="D839" s="28"/>
      <c r="E839" s="29"/>
      <c r="F839" s="29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</row>
    <row r="840">
      <c r="B840" s="28"/>
      <c r="C840" s="28"/>
      <c r="D840" s="28"/>
      <c r="E840" s="29"/>
      <c r="F840" s="29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</row>
    <row r="841">
      <c r="B841" s="28"/>
      <c r="C841" s="28"/>
      <c r="D841" s="28"/>
      <c r="E841" s="29"/>
      <c r="F841" s="29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</row>
    <row r="842">
      <c r="B842" s="28"/>
      <c r="C842" s="28"/>
      <c r="D842" s="28"/>
      <c r="E842" s="29"/>
      <c r="F842" s="29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</row>
    <row r="843">
      <c r="B843" s="28"/>
      <c r="C843" s="28"/>
      <c r="D843" s="28"/>
      <c r="E843" s="29"/>
      <c r="F843" s="29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</row>
    <row r="844">
      <c r="B844" s="28"/>
      <c r="C844" s="28"/>
      <c r="D844" s="28"/>
      <c r="E844" s="29"/>
      <c r="F844" s="29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</row>
    <row r="845">
      <c r="B845" s="28"/>
      <c r="C845" s="28"/>
      <c r="D845" s="28"/>
      <c r="E845" s="29"/>
      <c r="F845" s="29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</row>
    <row r="846">
      <c r="B846" s="28"/>
      <c r="C846" s="28"/>
      <c r="D846" s="28"/>
      <c r="E846" s="29"/>
      <c r="F846" s="29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</row>
    <row r="847">
      <c r="B847" s="28"/>
      <c r="C847" s="28"/>
      <c r="D847" s="28"/>
      <c r="E847" s="29"/>
      <c r="F847" s="29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</row>
    <row r="848">
      <c r="B848" s="28"/>
      <c r="C848" s="28"/>
      <c r="D848" s="28"/>
      <c r="E848" s="29"/>
      <c r="F848" s="29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</row>
    <row r="849">
      <c r="B849" s="28"/>
      <c r="C849" s="28"/>
      <c r="D849" s="28"/>
      <c r="E849" s="29"/>
      <c r="F849" s="29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</row>
    <row r="850">
      <c r="B850" s="28"/>
      <c r="C850" s="28"/>
      <c r="D850" s="28"/>
      <c r="E850" s="29"/>
      <c r="F850" s="29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</row>
    <row r="851">
      <c r="B851" s="28"/>
      <c r="C851" s="28"/>
      <c r="D851" s="28"/>
      <c r="E851" s="29"/>
      <c r="F851" s="29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</row>
    <row r="852">
      <c r="B852" s="28"/>
      <c r="C852" s="28"/>
      <c r="D852" s="28"/>
      <c r="E852" s="29"/>
      <c r="F852" s="29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</row>
    <row r="853">
      <c r="B853" s="28"/>
      <c r="C853" s="28"/>
      <c r="D853" s="28"/>
      <c r="E853" s="29"/>
      <c r="F853" s="29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</row>
    <row r="854">
      <c r="B854" s="28"/>
      <c r="C854" s="28"/>
      <c r="D854" s="28"/>
      <c r="E854" s="29"/>
      <c r="F854" s="29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</row>
    <row r="855">
      <c r="B855" s="28"/>
      <c r="C855" s="28"/>
      <c r="D855" s="28"/>
      <c r="E855" s="29"/>
      <c r="F855" s="29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</row>
    <row r="856">
      <c r="B856" s="28"/>
      <c r="C856" s="28"/>
      <c r="D856" s="28"/>
      <c r="E856" s="29"/>
      <c r="F856" s="29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</row>
    <row r="857">
      <c r="B857" s="28"/>
      <c r="C857" s="28"/>
      <c r="D857" s="28"/>
      <c r="E857" s="29"/>
      <c r="F857" s="29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</row>
    <row r="858">
      <c r="B858" s="28"/>
      <c r="C858" s="28"/>
      <c r="D858" s="28"/>
      <c r="E858" s="29"/>
      <c r="F858" s="29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</row>
    <row r="859">
      <c r="B859" s="28"/>
      <c r="C859" s="28"/>
      <c r="D859" s="28"/>
      <c r="E859" s="29"/>
      <c r="F859" s="29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</row>
    <row r="860">
      <c r="B860" s="28"/>
      <c r="C860" s="28"/>
      <c r="D860" s="28"/>
      <c r="E860" s="29"/>
      <c r="F860" s="29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</row>
    <row r="861">
      <c r="B861" s="28"/>
      <c r="C861" s="28"/>
      <c r="D861" s="28"/>
      <c r="E861" s="29"/>
      <c r="F861" s="29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</row>
    <row r="862">
      <c r="B862" s="28"/>
      <c r="C862" s="28"/>
      <c r="D862" s="28"/>
      <c r="E862" s="29"/>
      <c r="F862" s="29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</row>
    <row r="863">
      <c r="B863" s="28"/>
      <c r="C863" s="28"/>
      <c r="D863" s="28"/>
      <c r="E863" s="29"/>
      <c r="F863" s="29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</row>
    <row r="864">
      <c r="B864" s="28"/>
      <c r="C864" s="28"/>
      <c r="D864" s="28"/>
      <c r="E864" s="29"/>
      <c r="F864" s="29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</row>
    <row r="865">
      <c r="B865" s="28"/>
      <c r="C865" s="28"/>
      <c r="D865" s="28"/>
      <c r="E865" s="29"/>
      <c r="F865" s="29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</row>
    <row r="866">
      <c r="B866" s="28"/>
      <c r="C866" s="28"/>
      <c r="D866" s="28"/>
      <c r="E866" s="29"/>
      <c r="F866" s="29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</row>
    <row r="867">
      <c r="B867" s="28"/>
      <c r="C867" s="28"/>
      <c r="D867" s="28"/>
      <c r="E867" s="29"/>
      <c r="F867" s="29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</row>
    <row r="868">
      <c r="B868" s="28"/>
      <c r="C868" s="28"/>
      <c r="D868" s="28"/>
      <c r="E868" s="29"/>
      <c r="F868" s="29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</row>
    <row r="869">
      <c r="B869" s="28"/>
      <c r="C869" s="28"/>
      <c r="D869" s="28"/>
      <c r="E869" s="29"/>
      <c r="F869" s="29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</row>
    <row r="870">
      <c r="B870" s="28"/>
      <c r="C870" s="28"/>
      <c r="D870" s="28"/>
      <c r="E870" s="29"/>
      <c r="F870" s="29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</row>
    <row r="871">
      <c r="B871" s="28"/>
      <c r="C871" s="28"/>
      <c r="D871" s="28"/>
      <c r="E871" s="29"/>
      <c r="F871" s="29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</row>
    <row r="872">
      <c r="B872" s="28"/>
      <c r="C872" s="28"/>
      <c r="D872" s="28"/>
      <c r="E872" s="29"/>
      <c r="F872" s="29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</row>
    <row r="873">
      <c r="B873" s="28"/>
      <c r="C873" s="28"/>
      <c r="D873" s="28"/>
      <c r="E873" s="29"/>
      <c r="F873" s="29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</row>
    <row r="874">
      <c r="B874" s="28"/>
      <c r="C874" s="28"/>
      <c r="D874" s="28"/>
      <c r="E874" s="29"/>
      <c r="F874" s="29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</row>
    <row r="875">
      <c r="B875" s="28"/>
      <c r="C875" s="28"/>
      <c r="D875" s="28"/>
      <c r="E875" s="29"/>
      <c r="F875" s="29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</row>
    <row r="876">
      <c r="B876" s="28"/>
      <c r="C876" s="28"/>
      <c r="D876" s="28"/>
      <c r="E876" s="29"/>
      <c r="F876" s="29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</row>
    <row r="877">
      <c r="B877" s="28"/>
      <c r="C877" s="28"/>
      <c r="D877" s="28"/>
      <c r="E877" s="29"/>
      <c r="F877" s="29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</row>
    <row r="878">
      <c r="B878" s="28"/>
      <c r="C878" s="28"/>
      <c r="D878" s="28"/>
      <c r="E878" s="29"/>
      <c r="F878" s="29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</row>
    <row r="879">
      <c r="B879" s="28"/>
      <c r="C879" s="28"/>
      <c r="D879" s="28"/>
      <c r="E879" s="29"/>
      <c r="F879" s="29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</row>
    <row r="880">
      <c r="B880" s="28"/>
      <c r="C880" s="28"/>
      <c r="D880" s="28"/>
      <c r="E880" s="29"/>
      <c r="F880" s="29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</row>
    <row r="881">
      <c r="B881" s="28"/>
      <c r="C881" s="28"/>
      <c r="D881" s="28"/>
      <c r="E881" s="29"/>
      <c r="F881" s="29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</row>
    <row r="882">
      <c r="B882" s="28"/>
      <c r="C882" s="28"/>
      <c r="D882" s="28"/>
      <c r="E882" s="29"/>
      <c r="F882" s="29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</row>
    <row r="883">
      <c r="B883" s="28"/>
      <c r="C883" s="28"/>
      <c r="D883" s="28"/>
      <c r="E883" s="29"/>
      <c r="F883" s="29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</row>
    <row r="884">
      <c r="B884" s="28"/>
      <c r="C884" s="28"/>
      <c r="D884" s="28"/>
      <c r="E884" s="29"/>
      <c r="F884" s="29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</row>
    <row r="885">
      <c r="B885" s="28"/>
      <c r="C885" s="28"/>
      <c r="D885" s="28"/>
      <c r="E885" s="29"/>
      <c r="F885" s="29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</row>
    <row r="886">
      <c r="B886" s="28"/>
      <c r="C886" s="28"/>
      <c r="D886" s="28"/>
      <c r="E886" s="29"/>
      <c r="F886" s="29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</row>
    <row r="887">
      <c r="B887" s="28"/>
      <c r="C887" s="28"/>
      <c r="D887" s="28"/>
      <c r="E887" s="29"/>
      <c r="F887" s="29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</row>
    <row r="888">
      <c r="B888" s="28"/>
      <c r="C888" s="28"/>
      <c r="D888" s="28"/>
      <c r="E888" s="29"/>
      <c r="F888" s="29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</row>
    <row r="889">
      <c r="B889" s="28"/>
      <c r="C889" s="28"/>
      <c r="D889" s="28"/>
      <c r="E889" s="29"/>
      <c r="F889" s="29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</row>
    <row r="890">
      <c r="B890" s="28"/>
      <c r="C890" s="28"/>
      <c r="D890" s="28"/>
      <c r="E890" s="29"/>
      <c r="F890" s="29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</row>
    <row r="891">
      <c r="B891" s="28"/>
      <c r="C891" s="28"/>
      <c r="D891" s="28"/>
      <c r="E891" s="29"/>
      <c r="F891" s="29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</row>
    <row r="892">
      <c r="B892" s="28"/>
      <c r="C892" s="28"/>
      <c r="D892" s="28"/>
      <c r="E892" s="29"/>
      <c r="F892" s="29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</row>
    <row r="893">
      <c r="B893" s="28"/>
      <c r="C893" s="28"/>
      <c r="D893" s="28"/>
      <c r="E893" s="29"/>
      <c r="F893" s="29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</row>
    <row r="894">
      <c r="B894" s="28"/>
      <c r="C894" s="28"/>
      <c r="D894" s="28"/>
      <c r="E894" s="29"/>
      <c r="F894" s="29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</row>
    <row r="895">
      <c r="B895" s="28"/>
      <c r="C895" s="28"/>
      <c r="D895" s="28"/>
      <c r="E895" s="29"/>
      <c r="F895" s="29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</row>
    <row r="896">
      <c r="B896" s="28"/>
      <c r="C896" s="28"/>
      <c r="D896" s="28"/>
      <c r="E896" s="29"/>
      <c r="F896" s="29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</row>
    <row r="897">
      <c r="B897" s="28"/>
      <c r="C897" s="28"/>
      <c r="D897" s="28"/>
      <c r="E897" s="29"/>
      <c r="F897" s="29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</row>
    <row r="898">
      <c r="B898" s="28"/>
      <c r="C898" s="28"/>
      <c r="D898" s="28"/>
      <c r="E898" s="29"/>
      <c r="F898" s="29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</row>
    <row r="899">
      <c r="B899" s="28"/>
      <c r="C899" s="28"/>
      <c r="D899" s="28"/>
      <c r="E899" s="29"/>
      <c r="F899" s="29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</row>
    <row r="900">
      <c r="B900" s="28"/>
      <c r="C900" s="28"/>
      <c r="D900" s="28"/>
      <c r="E900" s="29"/>
      <c r="F900" s="29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</row>
    <row r="901">
      <c r="B901" s="28"/>
      <c r="C901" s="28"/>
      <c r="D901" s="28"/>
      <c r="E901" s="29"/>
      <c r="F901" s="29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</row>
    <row r="902">
      <c r="B902" s="28"/>
      <c r="C902" s="28"/>
      <c r="D902" s="28"/>
      <c r="E902" s="29"/>
      <c r="F902" s="29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</row>
    <row r="903">
      <c r="B903" s="28"/>
      <c r="C903" s="28"/>
      <c r="D903" s="28"/>
      <c r="E903" s="29"/>
      <c r="F903" s="29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</row>
    <row r="904">
      <c r="B904" s="28"/>
      <c r="C904" s="28"/>
      <c r="D904" s="28"/>
      <c r="E904" s="29"/>
      <c r="F904" s="29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</row>
    <row r="905">
      <c r="B905" s="28"/>
      <c r="C905" s="28"/>
      <c r="D905" s="28"/>
      <c r="E905" s="29"/>
      <c r="F905" s="29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</row>
    <row r="906">
      <c r="B906" s="28"/>
      <c r="C906" s="28"/>
      <c r="D906" s="28"/>
      <c r="E906" s="29"/>
      <c r="F906" s="29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</row>
    <row r="907">
      <c r="B907" s="28"/>
      <c r="C907" s="28"/>
      <c r="D907" s="28"/>
      <c r="E907" s="29"/>
      <c r="F907" s="29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</row>
    <row r="908">
      <c r="B908" s="28"/>
      <c r="C908" s="28"/>
      <c r="D908" s="28"/>
      <c r="E908" s="29"/>
      <c r="F908" s="29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</row>
    <row r="909">
      <c r="B909" s="28"/>
      <c r="C909" s="28"/>
      <c r="D909" s="28"/>
      <c r="E909" s="29"/>
      <c r="F909" s="29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</row>
    <row r="910">
      <c r="B910" s="28"/>
      <c r="C910" s="28"/>
      <c r="D910" s="28"/>
      <c r="E910" s="29"/>
      <c r="F910" s="29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</row>
    <row r="911">
      <c r="B911" s="28"/>
      <c r="C911" s="28"/>
      <c r="D911" s="28"/>
      <c r="E911" s="29"/>
      <c r="F911" s="29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</row>
    <row r="912">
      <c r="B912" s="28"/>
      <c r="C912" s="28"/>
      <c r="D912" s="28"/>
      <c r="E912" s="29"/>
      <c r="F912" s="29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</row>
    <row r="913">
      <c r="B913" s="28"/>
      <c r="C913" s="28"/>
      <c r="D913" s="28"/>
      <c r="E913" s="29"/>
      <c r="F913" s="29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</row>
    <row r="914">
      <c r="B914" s="28"/>
      <c r="C914" s="28"/>
      <c r="D914" s="28"/>
      <c r="E914" s="29"/>
      <c r="F914" s="29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</row>
    <row r="915">
      <c r="B915" s="28"/>
      <c r="C915" s="28"/>
      <c r="D915" s="28"/>
      <c r="E915" s="29"/>
      <c r="F915" s="29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</row>
    <row r="916">
      <c r="B916" s="28"/>
      <c r="C916" s="28"/>
      <c r="D916" s="28"/>
      <c r="E916" s="29"/>
      <c r="F916" s="29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</row>
    <row r="917">
      <c r="B917" s="28"/>
      <c r="C917" s="28"/>
      <c r="D917" s="28"/>
      <c r="E917" s="29"/>
      <c r="F917" s="29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</row>
    <row r="918">
      <c r="B918" s="28"/>
      <c r="C918" s="28"/>
      <c r="D918" s="28"/>
      <c r="E918" s="29"/>
      <c r="F918" s="29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</row>
    <row r="919">
      <c r="B919" s="28"/>
      <c r="C919" s="28"/>
      <c r="D919" s="28"/>
      <c r="E919" s="29"/>
      <c r="F919" s="29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</row>
    <row r="920">
      <c r="B920" s="28"/>
      <c r="C920" s="28"/>
      <c r="D920" s="28"/>
      <c r="E920" s="29"/>
      <c r="F920" s="29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</row>
    <row r="921">
      <c r="B921" s="28"/>
      <c r="C921" s="28"/>
      <c r="D921" s="28"/>
      <c r="E921" s="29"/>
      <c r="F921" s="29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</row>
    <row r="922">
      <c r="B922" s="28"/>
      <c r="C922" s="28"/>
      <c r="D922" s="28"/>
      <c r="E922" s="29"/>
      <c r="F922" s="29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</row>
    <row r="923">
      <c r="B923" s="28"/>
      <c r="C923" s="28"/>
      <c r="D923" s="28"/>
      <c r="E923" s="29"/>
      <c r="F923" s="29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</row>
    <row r="924">
      <c r="B924" s="28"/>
      <c r="C924" s="28"/>
      <c r="D924" s="28"/>
      <c r="E924" s="29"/>
      <c r="F924" s="29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</row>
    <row r="925">
      <c r="B925" s="28"/>
      <c r="C925" s="28"/>
      <c r="D925" s="28"/>
      <c r="E925" s="29"/>
      <c r="F925" s="29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</row>
    <row r="926">
      <c r="B926" s="28"/>
      <c r="C926" s="28"/>
      <c r="D926" s="28"/>
      <c r="E926" s="29"/>
      <c r="F926" s="29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</row>
    <row r="927">
      <c r="B927" s="28"/>
      <c r="C927" s="28"/>
      <c r="D927" s="28"/>
      <c r="E927" s="29"/>
      <c r="F927" s="29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</row>
    <row r="928">
      <c r="B928" s="28"/>
      <c r="C928" s="28"/>
      <c r="D928" s="28"/>
      <c r="E928" s="29"/>
      <c r="F928" s="29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</row>
    <row r="929">
      <c r="B929" s="28"/>
      <c r="C929" s="28"/>
      <c r="D929" s="28"/>
      <c r="E929" s="29"/>
      <c r="F929" s="29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</row>
    <row r="930">
      <c r="B930" s="28"/>
      <c r="C930" s="28"/>
      <c r="D930" s="28"/>
      <c r="E930" s="29"/>
      <c r="F930" s="29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</row>
    <row r="931">
      <c r="B931" s="28"/>
      <c r="C931" s="28"/>
      <c r="D931" s="28"/>
      <c r="E931" s="29"/>
      <c r="F931" s="29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</row>
  </sheetData>
  <mergeCells count="20">
    <mergeCell ref="G2:G3"/>
    <mergeCell ref="H2:H3"/>
    <mergeCell ref="I2:I3"/>
    <mergeCell ref="J2:J3"/>
    <mergeCell ref="K2:K3"/>
    <mergeCell ref="L2:N2"/>
    <mergeCell ref="O2:O3"/>
    <mergeCell ref="P2:P3"/>
    <mergeCell ref="Q2:Q3"/>
    <mergeCell ref="R2:R3"/>
    <mergeCell ref="S2:S3"/>
    <mergeCell ref="T2:T3"/>
    <mergeCell ref="A1:U1"/>
    <mergeCell ref="A2:A3"/>
    <mergeCell ref="B2:B3"/>
    <mergeCell ref="C2:C3"/>
    <mergeCell ref="D2:D3"/>
    <mergeCell ref="E2:E3"/>
    <mergeCell ref="F2:F3"/>
    <mergeCell ref="U2:U3"/>
  </mergeCells>
  <hyperlinks>
    <hyperlink r:id="rId2" ref="A16"/>
    <hyperlink r:id="rId3" ref="A108"/>
    <hyperlink r:id="rId4" ref="A118"/>
    <hyperlink r:id="rId5" ref="A119"/>
    <hyperlink r:id="rId6" ref="A126"/>
    <hyperlink r:id="rId7" ref="A127"/>
    <hyperlink r:id="rId8" ref="A159"/>
    <hyperlink r:id="rId9" ref="A189"/>
    <hyperlink r:id="rId10" ref="A190"/>
    <hyperlink r:id="rId11" ref="A199"/>
    <hyperlink r:id="rId12" ref="A215"/>
    <hyperlink r:id="rId13" ref="A252"/>
    <hyperlink r:id="rId14" ref="A280"/>
    <hyperlink r:id="rId15" ref="A281"/>
    <hyperlink r:id="rId16" ref="A282"/>
    <hyperlink r:id="rId17" ref="A283"/>
    <hyperlink r:id="rId18" ref="A303"/>
    <hyperlink r:id="rId19" ref="A322"/>
    <hyperlink r:id="rId20" ref="A336"/>
    <hyperlink r:id="rId21" ref="A350"/>
  </hyperlinks>
  <drawing r:id="rId22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5.14"/>
    <col customWidth="1" min="2" max="2" width="8.71"/>
    <col customWidth="1" min="3" max="3" width="8.0"/>
    <col customWidth="1" min="4" max="5" width="10.14"/>
    <col customWidth="1" min="6" max="6" width="11.57"/>
    <col customWidth="1" min="7" max="7" width="7.29"/>
    <col customWidth="1" min="8" max="8" width="8.0"/>
    <col customWidth="1" min="9" max="9" width="10.86"/>
    <col customWidth="1" min="10" max="10" width="15.29"/>
    <col customWidth="1" min="11" max="11" width="14.43"/>
    <col customWidth="1" min="12" max="12" width="10.29"/>
    <col customWidth="1" min="13" max="14" width="14.43"/>
    <col customWidth="1" min="15" max="19" width="7.29"/>
    <col customWidth="1" min="20" max="20" width="10.14"/>
  </cols>
  <sheetData>
    <row r="1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1" t="s">
        <v>12</v>
      </c>
      <c r="M2" s="2"/>
      <c r="N2" s="3"/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 t="s">
        <v>20</v>
      </c>
      <c r="M3" s="8" t="s">
        <v>21</v>
      </c>
      <c r="N3" s="8" t="s">
        <v>22</v>
      </c>
      <c r="O3" s="7"/>
      <c r="P3" s="7"/>
      <c r="Q3" s="7"/>
      <c r="R3" s="7"/>
      <c r="S3" s="7"/>
      <c r="T3" s="7"/>
      <c r="U3" s="7"/>
    </row>
    <row r="4">
      <c r="A4" s="9" t="str">
        <f>HYPERLINK("https://docs.google.com/spreadsheets/d/1y7awzkkkaNlh7XKjc44AGriTvqB9H3pVz8cFLyIYdbo/edit?usp=sharing","Tony Vlachos")</f>
        <v>Tony Vlachos</v>
      </c>
      <c r="B4" s="10">
        <v>28.0</v>
      </c>
      <c r="C4" s="10">
        <v>97.0</v>
      </c>
      <c r="D4" s="10">
        <v>14.0</v>
      </c>
      <c r="E4" s="11">
        <v>6.93</v>
      </c>
      <c r="F4" s="12">
        <v>0.2113</v>
      </c>
      <c r="G4" s="10">
        <v>39.0</v>
      </c>
      <c r="H4" s="10" t="s">
        <v>23</v>
      </c>
      <c r="I4" s="10" t="s">
        <v>9</v>
      </c>
      <c r="J4" s="10" t="s">
        <v>28</v>
      </c>
      <c r="K4" s="10" t="s">
        <v>29</v>
      </c>
      <c r="L4" s="13">
        <v>10.0</v>
      </c>
      <c r="M4" s="13">
        <v>5.0</v>
      </c>
      <c r="N4" s="13" t="s">
        <v>23</v>
      </c>
      <c r="O4" s="13">
        <v>11.0</v>
      </c>
      <c r="P4" s="10" t="s">
        <v>23</v>
      </c>
      <c r="Q4" s="10" t="s">
        <v>23</v>
      </c>
      <c r="R4" s="10"/>
      <c r="S4" s="10">
        <v>3.0</v>
      </c>
      <c r="T4" s="10"/>
      <c r="U4" s="10" t="s">
        <v>23</v>
      </c>
    </row>
    <row r="5">
      <c r="A5" s="9" t="str">
        <f>HYPERLINK("https://docs.google.com/spreadsheets/d/1CcEdjXKuhm6HmXecNbnscxpFab1HRQEjKSDga6QxqAU/edit?usp=sharing","Rob Mariano")</f>
        <v>Rob Mariano</v>
      </c>
      <c r="B5" s="10">
        <v>22.0</v>
      </c>
      <c r="C5" s="10">
        <v>97.0</v>
      </c>
      <c r="D5" s="10">
        <v>14.0</v>
      </c>
      <c r="E5" s="11">
        <v>6.93</v>
      </c>
      <c r="F5" s="12">
        <v>0.2288</v>
      </c>
      <c r="G5" s="10">
        <v>39.0</v>
      </c>
      <c r="H5" s="10">
        <v>1.0</v>
      </c>
      <c r="I5" s="10" t="s">
        <v>9</v>
      </c>
      <c r="J5" s="10" t="s">
        <v>28</v>
      </c>
      <c r="K5" s="10" t="s">
        <v>29</v>
      </c>
      <c r="L5" s="13">
        <v>7.0</v>
      </c>
      <c r="M5" s="13">
        <v>4.0</v>
      </c>
      <c r="N5" s="13">
        <v>4.0</v>
      </c>
      <c r="O5" s="13">
        <v>14.0</v>
      </c>
      <c r="P5" s="13" t="s">
        <v>23</v>
      </c>
      <c r="Q5" s="13" t="s">
        <v>23</v>
      </c>
      <c r="R5" s="13"/>
      <c r="S5" s="10">
        <v>1.0</v>
      </c>
      <c r="T5" s="10"/>
      <c r="U5" s="10" t="s">
        <v>23</v>
      </c>
    </row>
    <row r="6">
      <c r="A6" s="9" t="str">
        <f>HYPERLINK("https://docs.google.com/spreadsheets/d/14eN4V4imd53x81UQVckjyAx_2xIFGXJ8NE4XmE1oDkg/edit?usp=sharing","Richard Hatch")</f>
        <v>Richard Hatch</v>
      </c>
      <c r="B6" s="10">
        <v>1.0</v>
      </c>
      <c r="C6" s="10">
        <v>92.0</v>
      </c>
      <c r="D6" s="10">
        <v>13.0</v>
      </c>
      <c r="E6" s="11">
        <v>7.08</v>
      </c>
      <c r="F6" s="14">
        <v>0.14</v>
      </c>
      <c r="G6" s="10">
        <v>39.0</v>
      </c>
      <c r="H6" s="10" t="s">
        <v>23</v>
      </c>
      <c r="I6" s="10" t="s">
        <v>9</v>
      </c>
      <c r="J6" s="10" t="s">
        <v>28</v>
      </c>
      <c r="K6" s="10" t="s">
        <v>30</v>
      </c>
      <c r="L6" s="13">
        <v>3.0</v>
      </c>
      <c r="M6" s="13">
        <v>3.0</v>
      </c>
      <c r="N6" s="13">
        <v>1.0</v>
      </c>
      <c r="O6" s="13">
        <v>12.0</v>
      </c>
      <c r="P6" s="10" t="s">
        <v>23</v>
      </c>
      <c r="Q6" s="10" t="s">
        <v>23</v>
      </c>
      <c r="R6" s="10"/>
      <c r="S6" s="10" t="s">
        <v>23</v>
      </c>
      <c r="T6" s="10"/>
      <c r="U6" s="10" t="s">
        <v>23</v>
      </c>
    </row>
    <row r="7">
      <c r="A7" s="9" t="str">
        <f>HYPERLINK("https://docs.google.com/spreadsheets/d/1HA0vQC0CSnQtVc8u58vwNd3sIFCc79SKVqM1abMG1hI/edit?usp=sharing","Mike Holloway")</f>
        <v>Mike Holloway</v>
      </c>
      <c r="B7" s="10">
        <v>30.0</v>
      </c>
      <c r="C7" s="10">
        <v>73.0</v>
      </c>
      <c r="D7" s="10">
        <v>14.0</v>
      </c>
      <c r="E7" s="11">
        <v>5.21</v>
      </c>
      <c r="F7" s="12">
        <v>0.1597</v>
      </c>
      <c r="G7" s="10">
        <v>39.0</v>
      </c>
      <c r="H7" s="10" t="s">
        <v>23</v>
      </c>
      <c r="I7" s="10" t="s">
        <v>9</v>
      </c>
      <c r="J7" s="10" t="s">
        <v>28</v>
      </c>
      <c r="K7" s="10" t="s">
        <v>29</v>
      </c>
      <c r="L7" s="13">
        <v>10.0</v>
      </c>
      <c r="M7" s="13">
        <v>4.0</v>
      </c>
      <c r="N7" s="13">
        <v>5.0</v>
      </c>
      <c r="O7" s="13">
        <v>12.0</v>
      </c>
      <c r="P7" s="10" t="s">
        <v>23</v>
      </c>
      <c r="Q7" s="10" t="s">
        <v>23</v>
      </c>
      <c r="R7" s="10"/>
      <c r="S7" s="10">
        <v>1.0</v>
      </c>
      <c r="T7" s="10"/>
      <c r="U7" s="10" t="s">
        <v>23</v>
      </c>
    </row>
    <row r="8">
      <c r="A8" s="18" t="s">
        <v>35</v>
      </c>
      <c r="B8" s="13">
        <v>40.0</v>
      </c>
      <c r="C8" s="13">
        <v>73.0</v>
      </c>
      <c r="D8" s="13">
        <v>15.0</v>
      </c>
      <c r="E8" s="16">
        <v>4.87</v>
      </c>
      <c r="F8" s="17">
        <v>0.1274</v>
      </c>
      <c r="G8" s="13">
        <v>39.0</v>
      </c>
      <c r="H8" s="13" t="s">
        <v>23</v>
      </c>
      <c r="I8" s="13" t="s">
        <v>9</v>
      </c>
      <c r="J8" s="13" t="s">
        <v>28</v>
      </c>
      <c r="K8" s="13" t="s">
        <v>36</v>
      </c>
      <c r="L8" s="13">
        <v>3.0</v>
      </c>
      <c r="M8" s="13">
        <v>5.0</v>
      </c>
      <c r="N8" s="13">
        <v>4.0</v>
      </c>
      <c r="O8" s="13">
        <v>14.0</v>
      </c>
      <c r="P8" s="13" t="s">
        <v>23</v>
      </c>
      <c r="Q8" s="13" t="s">
        <v>23</v>
      </c>
      <c r="R8" s="13" t="s">
        <v>23</v>
      </c>
      <c r="S8" s="13">
        <v>1.0</v>
      </c>
      <c r="T8" s="13">
        <v>3.0</v>
      </c>
      <c r="U8" s="13" t="s">
        <v>23</v>
      </c>
    </row>
    <row r="9">
      <c r="A9" s="15" t="str">
        <f>HYPERLINK("https://docs.google.com/spreadsheets/d/1yi_HtvN4TS5uRWCCFJg5RFaoouiIIe8CAtY_XnqP6iM/edit?usp=sharing","Chris Daugherty")</f>
        <v>Chris Daugherty</v>
      </c>
      <c r="B9" s="13">
        <v>9.0</v>
      </c>
      <c r="C9" s="13">
        <v>71.0</v>
      </c>
      <c r="D9" s="13">
        <v>14.0</v>
      </c>
      <c r="E9" s="16">
        <v>5.07</v>
      </c>
      <c r="F9" s="17">
        <v>0.1695</v>
      </c>
      <c r="G9" s="13">
        <v>39.0</v>
      </c>
      <c r="H9" s="13">
        <v>2.0</v>
      </c>
      <c r="I9" s="13" t="s">
        <v>9</v>
      </c>
      <c r="J9" s="13" t="s">
        <v>28</v>
      </c>
      <c r="K9" s="13" t="s">
        <v>29</v>
      </c>
      <c r="L9" s="13">
        <v>7.0</v>
      </c>
      <c r="M9" s="13">
        <v>3.0</v>
      </c>
      <c r="N9" s="13">
        <v>3.0</v>
      </c>
      <c r="O9" s="13">
        <v>13.0</v>
      </c>
      <c r="P9" s="10" t="s">
        <v>23</v>
      </c>
      <c r="Q9" s="10" t="s">
        <v>23</v>
      </c>
      <c r="R9" s="10"/>
      <c r="S9" s="10" t="s">
        <v>23</v>
      </c>
      <c r="T9" s="10"/>
      <c r="U9" s="10" t="s">
        <v>23</v>
      </c>
    </row>
    <row r="10">
      <c r="A10" s="15" t="str">
        <f>HYPERLINK("https://docs.google.com/spreadsheets/d/1q-5bbq9txg93Y0eUACxRPTIN5PuRjeDVpNDfeXEw4iE/edit?usp=sharing","Ben Driebergen")</f>
        <v>Ben Driebergen</v>
      </c>
      <c r="B10" s="13">
        <v>35.0</v>
      </c>
      <c r="C10" s="13">
        <v>70.0</v>
      </c>
      <c r="D10" s="13">
        <v>14.0</v>
      </c>
      <c r="E10" s="16">
        <v>5.0</v>
      </c>
      <c r="F10" s="17">
        <v>0.1624</v>
      </c>
      <c r="G10" s="13">
        <v>39.0</v>
      </c>
      <c r="H10" s="13" t="s">
        <v>23</v>
      </c>
      <c r="I10" s="13" t="s">
        <v>9</v>
      </c>
      <c r="J10" s="13" t="s">
        <v>28</v>
      </c>
      <c r="K10" s="13" t="s">
        <v>29</v>
      </c>
      <c r="L10" s="13">
        <v>9.0</v>
      </c>
      <c r="M10" s="13">
        <v>5.0</v>
      </c>
      <c r="N10" s="13" t="s">
        <v>23</v>
      </c>
      <c r="O10" s="13">
        <v>11.0</v>
      </c>
      <c r="P10" s="13" t="s">
        <v>23</v>
      </c>
      <c r="Q10" s="13" t="s">
        <v>23</v>
      </c>
      <c r="R10" s="13"/>
      <c r="S10" s="13">
        <v>3.0</v>
      </c>
      <c r="T10" s="13" t="s">
        <v>23</v>
      </c>
      <c r="U10" s="13" t="s">
        <v>23</v>
      </c>
    </row>
    <row r="11">
      <c r="A11" s="9" t="str">
        <f>HYPERLINK("https://docs.google.com/spreadsheets/d/18wmIvmUS3SeZNSPQeUzr6sPl9GBYpVSlOaFR_kJCmKo/edit?usp=sharing","Tina Wesson")</f>
        <v>Tina Wesson</v>
      </c>
      <c r="B11" s="10">
        <v>2.0</v>
      </c>
      <c r="C11" s="10">
        <v>69.0</v>
      </c>
      <c r="D11" s="10">
        <v>14.0</v>
      </c>
      <c r="E11" s="11">
        <v>4.93</v>
      </c>
      <c r="F11" s="12">
        <v>0.123</v>
      </c>
      <c r="G11" s="10">
        <v>42.0</v>
      </c>
      <c r="H11" s="10">
        <v>1.0</v>
      </c>
      <c r="I11" s="10" t="s">
        <v>9</v>
      </c>
      <c r="J11" s="10" t="s">
        <v>28</v>
      </c>
      <c r="K11" s="10" t="s">
        <v>30</v>
      </c>
      <c r="L11" s="13">
        <v>5.0</v>
      </c>
      <c r="M11" s="13">
        <v>2.0</v>
      </c>
      <c r="N11" s="13" t="s">
        <v>23</v>
      </c>
      <c r="O11" s="13">
        <v>12.0</v>
      </c>
      <c r="P11" s="10" t="s">
        <v>23</v>
      </c>
      <c r="Q11" s="10" t="s">
        <v>23</v>
      </c>
      <c r="R11" s="10"/>
      <c r="S11" s="10" t="s">
        <v>23</v>
      </c>
      <c r="T11" s="10"/>
      <c r="U11" s="10" t="s">
        <v>23</v>
      </c>
    </row>
    <row r="12">
      <c r="A12" s="9" t="str">
        <f>HYPERLINK("https://docs.google.com/spreadsheets/d/1EZNO7rY3X3GsqJDX9iY8RpZJJDJ-K4nm_Mxm1g397N0/edit?usp=sharing","Ethan Zohn")</f>
        <v>Ethan Zohn</v>
      </c>
      <c r="B12" s="10">
        <v>3.0</v>
      </c>
      <c r="C12" s="10">
        <v>68.0</v>
      </c>
      <c r="D12" s="10">
        <v>13.0</v>
      </c>
      <c r="E12" s="11">
        <v>5.23</v>
      </c>
      <c r="F12" s="12">
        <v>0.136</v>
      </c>
      <c r="G12" s="10">
        <v>39.0</v>
      </c>
      <c r="H12" s="10">
        <v>1.0</v>
      </c>
      <c r="I12" s="10" t="s">
        <v>9</v>
      </c>
      <c r="J12" s="10" t="s">
        <v>28</v>
      </c>
      <c r="K12" s="10" t="s">
        <v>30</v>
      </c>
      <c r="L12" s="13">
        <v>5.0</v>
      </c>
      <c r="M12" s="13">
        <v>3.0</v>
      </c>
      <c r="N12" s="13">
        <v>1.0</v>
      </c>
      <c r="O12" s="13">
        <v>12.0</v>
      </c>
      <c r="P12" s="10" t="s">
        <v>23</v>
      </c>
      <c r="Q12" s="10" t="s">
        <v>23</v>
      </c>
      <c r="R12" s="10"/>
      <c r="S12" s="10" t="s">
        <v>23</v>
      </c>
      <c r="T12" s="10"/>
      <c r="U12" s="10" t="s">
        <v>23</v>
      </c>
    </row>
    <row r="13">
      <c r="A13" s="9" t="str">
        <f>HYPERLINK("https://docs.google.com/spreadsheets/d/1LR80O0PvsOvoTuN5gHQd3Rls4b1rZmJd7EZ_DR2oRHs/edit?usp=sharing","John Cochran")</f>
        <v>John Cochran</v>
      </c>
      <c r="B13" s="10">
        <v>26.0</v>
      </c>
      <c r="C13" s="10">
        <v>67.0</v>
      </c>
      <c r="D13" s="10">
        <v>14.0</v>
      </c>
      <c r="E13" s="11">
        <v>4.79</v>
      </c>
      <c r="F13" s="12">
        <v>0.1622</v>
      </c>
      <c r="G13" s="10">
        <v>39.0</v>
      </c>
      <c r="H13" s="10">
        <v>1.0</v>
      </c>
      <c r="I13" s="10" t="s">
        <v>9</v>
      </c>
      <c r="J13" s="10" t="s">
        <v>28</v>
      </c>
      <c r="K13" s="10" t="s">
        <v>36</v>
      </c>
      <c r="L13" s="13">
        <v>11.0</v>
      </c>
      <c r="M13" s="13">
        <v>3.0</v>
      </c>
      <c r="N13" s="13">
        <v>3.0</v>
      </c>
      <c r="O13" s="13">
        <v>13.0</v>
      </c>
      <c r="P13" s="10" t="s">
        <v>23</v>
      </c>
      <c r="Q13" s="10" t="s">
        <v>23</v>
      </c>
      <c r="R13" s="10"/>
      <c r="S13" s="10" t="s">
        <v>23</v>
      </c>
      <c r="T13" s="10"/>
      <c r="U13" s="10" t="s">
        <v>23</v>
      </c>
    </row>
    <row r="14">
      <c r="A14" s="9" t="str">
        <f>HYPERLINK("https://docs.google.com/spreadsheets/d/1w0I5RoQ7uENhUG1ncC5V9B3b6BQapplx180-f9F9s4w/edit?usp=sharing","Jenna Morasca")</f>
        <v>Jenna Morasca</v>
      </c>
      <c r="B14" s="10">
        <v>6.0</v>
      </c>
      <c r="C14" s="10">
        <v>61.0</v>
      </c>
      <c r="D14" s="10">
        <v>13.0</v>
      </c>
      <c r="E14" s="11">
        <v>4.69</v>
      </c>
      <c r="F14" s="12">
        <v>0.1255</v>
      </c>
      <c r="G14" s="10">
        <v>39.0</v>
      </c>
      <c r="H14" s="10">
        <v>1.0</v>
      </c>
      <c r="I14" s="10" t="s">
        <v>9</v>
      </c>
      <c r="J14" s="10" t="s">
        <v>28</v>
      </c>
      <c r="K14" s="10" t="s">
        <v>30</v>
      </c>
      <c r="L14" s="13">
        <v>7.0</v>
      </c>
      <c r="M14" s="13">
        <v>3.0</v>
      </c>
      <c r="N14" s="13">
        <v>4.0</v>
      </c>
      <c r="O14" s="13">
        <v>12.0</v>
      </c>
      <c r="P14" s="10" t="s">
        <v>23</v>
      </c>
      <c r="Q14" s="10" t="s">
        <v>23</v>
      </c>
      <c r="R14" s="10"/>
      <c r="S14" s="10" t="s">
        <v>23</v>
      </c>
      <c r="T14" s="10"/>
      <c r="U14" s="10" t="s">
        <v>23</v>
      </c>
    </row>
    <row r="15">
      <c r="A15" s="15" t="str">
        <f>HYPERLINK("https://docs.google.com/spreadsheets/d/1d8Hzm_QCJnDef8NF_dVYBZLjLjFI3Fl8Yt14m8Zhn8Y/edit?usp=sharing","Tom Westman")</f>
        <v>Tom Westman</v>
      </c>
      <c r="B15" s="13">
        <v>10.0</v>
      </c>
      <c r="C15" s="13">
        <v>57.0</v>
      </c>
      <c r="D15" s="13">
        <v>14.0</v>
      </c>
      <c r="E15" s="16">
        <v>4.07</v>
      </c>
      <c r="F15" s="17">
        <v>0.1335</v>
      </c>
      <c r="G15" s="13">
        <v>39.0</v>
      </c>
      <c r="H15" s="13" t="s">
        <v>23</v>
      </c>
      <c r="I15" s="13" t="s">
        <v>42</v>
      </c>
      <c r="J15" s="13" t="s">
        <v>28</v>
      </c>
      <c r="K15" s="13" t="s">
        <v>36</v>
      </c>
      <c r="L15" s="13">
        <v>10.0</v>
      </c>
      <c r="M15" s="13">
        <v>7.0</v>
      </c>
      <c r="N15" s="13">
        <v>5.0</v>
      </c>
      <c r="O15" s="13">
        <v>9.0</v>
      </c>
      <c r="P15" s="13" t="s">
        <v>23</v>
      </c>
      <c r="Q15" s="13" t="s">
        <v>23</v>
      </c>
      <c r="R15" s="13"/>
      <c r="S15" s="13" t="s">
        <v>23</v>
      </c>
      <c r="T15" s="13" t="s">
        <v>23</v>
      </c>
      <c r="U15" s="13" t="s">
        <v>23</v>
      </c>
    </row>
    <row r="16">
      <c r="A16" s="15" t="str">
        <f>HYPERLINK("https://docs.google.com/spreadsheets/d/1t379i2CYDM1ZVdZZy_Nj2m3ht6Sp4J68-xZ2v4-PIMo/edit?usp=sharing","Michele Fitzgerald")</f>
        <v>Michele Fitzgerald</v>
      </c>
      <c r="B16" s="13">
        <v>32.0</v>
      </c>
      <c r="C16" s="13">
        <v>57.0</v>
      </c>
      <c r="D16" s="13">
        <v>14.0</v>
      </c>
      <c r="E16" s="16">
        <v>4.07</v>
      </c>
      <c r="F16" s="17">
        <v>0.1154</v>
      </c>
      <c r="G16" s="13">
        <v>39.0</v>
      </c>
      <c r="H16" s="13">
        <v>2.0</v>
      </c>
      <c r="I16" s="13" t="s">
        <v>9</v>
      </c>
      <c r="J16" s="13" t="s">
        <v>28</v>
      </c>
      <c r="K16" s="13" t="s">
        <v>29</v>
      </c>
      <c r="L16" s="13">
        <v>9.0</v>
      </c>
      <c r="M16" s="13">
        <v>6.0</v>
      </c>
      <c r="N16" s="13">
        <v>2.0</v>
      </c>
      <c r="O16" s="13">
        <v>7.0</v>
      </c>
      <c r="P16" s="13" t="s">
        <v>23</v>
      </c>
      <c r="Q16" s="13" t="s">
        <v>23</v>
      </c>
      <c r="R16" s="13"/>
      <c r="S16" s="13" t="s">
        <v>23</v>
      </c>
      <c r="T16" s="13"/>
      <c r="U16" s="13" t="s">
        <v>23</v>
      </c>
    </row>
    <row r="17">
      <c r="A17" s="9" t="str">
        <f>HYPERLINK("https://docs.google.com/spreadsheets/d/1tPYt5CqjX32YXnh0BRsechvszEP2n4_ePabpiRTSzqE/edit?usp=sharing","Sandra Diaz-Twine")</f>
        <v>Sandra Diaz-Twine</v>
      </c>
      <c r="B17" s="10">
        <v>7.0</v>
      </c>
      <c r="C17" s="10">
        <v>55.0</v>
      </c>
      <c r="D17" s="10">
        <v>14.0</v>
      </c>
      <c r="E17" s="11">
        <v>3.93</v>
      </c>
      <c r="F17" s="12">
        <v>0.1098</v>
      </c>
      <c r="G17" s="10">
        <v>39.0</v>
      </c>
      <c r="H17" s="10" t="s">
        <v>23</v>
      </c>
      <c r="I17" s="10" t="s">
        <v>9</v>
      </c>
      <c r="J17" s="10" t="s">
        <v>28</v>
      </c>
      <c r="K17" s="10" t="s">
        <v>30</v>
      </c>
      <c r="L17" s="13">
        <v>4.0</v>
      </c>
      <c r="M17" s="13">
        <v>3.0</v>
      </c>
      <c r="N17" s="13" t="s">
        <v>23</v>
      </c>
      <c r="O17" s="13">
        <v>13.0</v>
      </c>
      <c r="P17" s="10" t="s">
        <v>23</v>
      </c>
      <c r="Q17" s="10" t="s">
        <v>23</v>
      </c>
      <c r="R17" s="10"/>
      <c r="S17" s="10" t="s">
        <v>23</v>
      </c>
      <c r="T17" s="10"/>
      <c r="U17" s="10" t="s">
        <v>23</v>
      </c>
    </row>
    <row r="18">
      <c r="A18" s="19" t="str">
        <f>HYPERLINK("https://docs.google.com/spreadsheets/d/1TniiK35-AGMNddj9lkge_tT9QfOGXMfX2thnTv8npTo/edit?usp=sharing","Brian Heidik")</f>
        <v>Brian Heidik</v>
      </c>
      <c r="B18" s="20">
        <v>5.0</v>
      </c>
      <c r="C18" s="21">
        <v>54.0</v>
      </c>
      <c r="D18" s="20">
        <v>13.0</v>
      </c>
      <c r="E18" s="22">
        <v>4.15</v>
      </c>
      <c r="F18" s="14">
        <v>0.1118</v>
      </c>
      <c r="G18" s="21">
        <v>39.0</v>
      </c>
      <c r="H18" s="21" t="s">
        <v>23</v>
      </c>
      <c r="I18" s="10" t="s">
        <v>9</v>
      </c>
      <c r="J18" s="20" t="s">
        <v>28</v>
      </c>
      <c r="K18" s="20" t="s">
        <v>30</v>
      </c>
      <c r="L18" s="13">
        <v>5.0</v>
      </c>
      <c r="M18" s="13">
        <v>5.0</v>
      </c>
      <c r="N18" s="13">
        <v>3.0</v>
      </c>
      <c r="O18" s="13">
        <v>10.0</v>
      </c>
      <c r="P18" s="10" t="s">
        <v>23</v>
      </c>
      <c r="Q18" s="10" t="s">
        <v>23</v>
      </c>
      <c r="R18" s="10"/>
      <c r="S18" s="10" t="s">
        <v>23</v>
      </c>
      <c r="T18" s="10"/>
      <c r="U18" s="10" t="s">
        <v>23</v>
      </c>
    </row>
    <row r="19">
      <c r="A19" s="9" t="str">
        <f>HYPERLINK("https://docs.google.com/spreadsheets/d/1v6gXy2rHfH0CkzT8zUZyZm6b-WimbnBspkh1B5hksu4/edit?usp=sharing","Kim Spradlin")</f>
        <v>Kim Spradlin</v>
      </c>
      <c r="B19" s="10">
        <v>24.0</v>
      </c>
      <c r="C19" s="10">
        <v>53.0</v>
      </c>
      <c r="D19" s="10">
        <v>14.0</v>
      </c>
      <c r="E19" s="11">
        <v>3.79</v>
      </c>
      <c r="F19" s="12">
        <v>0.1387</v>
      </c>
      <c r="G19" s="10">
        <v>39.0</v>
      </c>
      <c r="H19" s="10">
        <v>1.0</v>
      </c>
      <c r="I19" s="10" t="s">
        <v>9</v>
      </c>
      <c r="J19" s="10" t="s">
        <v>28</v>
      </c>
      <c r="K19" s="10" t="s">
        <v>29</v>
      </c>
      <c r="L19" s="13">
        <v>10.0</v>
      </c>
      <c r="M19" s="13">
        <v>3.0</v>
      </c>
      <c r="N19" s="13">
        <v>4.0</v>
      </c>
      <c r="O19" s="13">
        <v>11.0</v>
      </c>
      <c r="P19" s="10" t="s">
        <v>23</v>
      </c>
      <c r="Q19" s="10" t="s">
        <v>23</v>
      </c>
      <c r="R19" s="10"/>
      <c r="S19" s="10">
        <v>1.0</v>
      </c>
      <c r="T19" s="10"/>
      <c r="U19" s="10" t="s">
        <v>23</v>
      </c>
    </row>
    <row r="20">
      <c r="A20" s="15" t="str">
        <f>HYPERLINK("https://docs.google.com/spreadsheets/d/1ZajpFwOHrMmupCcACeLhLTzPOwhTrjKRR1FJtUgeLww/edit?usp=sharing","Adam Klein")</f>
        <v>Adam Klein</v>
      </c>
      <c r="B20" s="13">
        <v>33.0</v>
      </c>
      <c r="C20" s="13">
        <v>53.0</v>
      </c>
      <c r="D20" s="13">
        <v>14.0</v>
      </c>
      <c r="E20" s="16">
        <v>3.79</v>
      </c>
      <c r="F20" s="17">
        <v>0.1218</v>
      </c>
      <c r="G20" s="13">
        <v>39.0</v>
      </c>
      <c r="H20" s="13" t="s">
        <v>23</v>
      </c>
      <c r="I20" s="13" t="s">
        <v>9</v>
      </c>
      <c r="J20" s="13" t="s">
        <v>28</v>
      </c>
      <c r="K20" s="13" t="s">
        <v>36</v>
      </c>
      <c r="L20" s="13">
        <v>6.0</v>
      </c>
      <c r="M20" s="13">
        <v>5.0</v>
      </c>
      <c r="N20" s="13">
        <v>1.0</v>
      </c>
      <c r="O20" s="13">
        <v>13.0</v>
      </c>
      <c r="P20" s="13" t="s">
        <v>23</v>
      </c>
      <c r="Q20" s="13" t="s">
        <v>23</v>
      </c>
      <c r="R20" s="13"/>
      <c r="S20" s="13">
        <v>2.0</v>
      </c>
      <c r="T20" s="13">
        <v>1.0</v>
      </c>
      <c r="U20" s="13" t="s">
        <v>23</v>
      </c>
    </row>
    <row r="21">
      <c r="A21" s="15" t="str">
        <f>HYPERLINK("https://docs.google.com/spreadsheets/d/1VEbyebFdBtPJKQC_U2uGrW6_v1fn6Hsoz3YYLyCxHR0/edit?usp=sharing","Aras Baskauskas")</f>
        <v>Aras Baskauskas</v>
      </c>
      <c r="B21" s="13">
        <v>12.0</v>
      </c>
      <c r="C21" s="13">
        <v>50.0</v>
      </c>
      <c r="D21" s="13">
        <v>14.0</v>
      </c>
      <c r="E21" s="16">
        <v>3.57</v>
      </c>
      <c r="F21" s="17">
        <v>0.0074</v>
      </c>
      <c r="G21" s="13">
        <v>39.0</v>
      </c>
      <c r="H21" s="13">
        <v>1.0</v>
      </c>
      <c r="I21" s="13" t="s">
        <v>9</v>
      </c>
      <c r="J21" s="13" t="s">
        <v>28</v>
      </c>
      <c r="K21" s="13" t="s">
        <v>30</v>
      </c>
      <c r="L21" s="13">
        <v>9.0</v>
      </c>
      <c r="M21" s="13">
        <v>4.0</v>
      </c>
      <c r="N21" s="13">
        <v>1.0</v>
      </c>
      <c r="O21" s="13">
        <v>10.0</v>
      </c>
      <c r="P21" s="13">
        <v>2.0</v>
      </c>
      <c r="Q21" s="13" t="s">
        <v>23</v>
      </c>
      <c r="R21" s="13"/>
      <c r="S21" s="13" t="s">
        <v>23</v>
      </c>
      <c r="T21" s="13" t="s">
        <v>23</v>
      </c>
      <c r="U21" s="13" t="s">
        <v>23</v>
      </c>
    </row>
    <row r="22">
      <c r="A22" s="9" t="str">
        <f>HYPERLINK("https://docs.google.com/spreadsheets/d/1X-5lK1sJCBpvE08rC1VdSsGvayqyrC62cK7W45Q4XX8/edit?usp=sharing","Tyson Apostol")</f>
        <v>Tyson Apostol</v>
      </c>
      <c r="B22" s="10">
        <v>27.0</v>
      </c>
      <c r="C22" s="10">
        <v>48.0</v>
      </c>
      <c r="D22" s="10">
        <v>14.0</v>
      </c>
      <c r="E22" s="11">
        <v>3.43</v>
      </c>
      <c r="F22" s="12">
        <v>0.1109</v>
      </c>
      <c r="G22" s="10">
        <v>39.0</v>
      </c>
      <c r="H22" s="10" t="s">
        <v>23</v>
      </c>
      <c r="I22" s="10" t="s">
        <v>9</v>
      </c>
      <c r="J22" s="10" t="s">
        <v>28</v>
      </c>
      <c r="K22" s="10" t="s">
        <v>36</v>
      </c>
      <c r="L22" s="13">
        <v>9.0</v>
      </c>
      <c r="M22" s="13">
        <v>6.0</v>
      </c>
      <c r="N22" s="13">
        <v>2.0</v>
      </c>
      <c r="O22" s="13">
        <v>11.0</v>
      </c>
      <c r="P22" s="13" t="s">
        <v>23</v>
      </c>
      <c r="Q22" s="13" t="s">
        <v>23</v>
      </c>
      <c r="R22" s="13"/>
      <c r="S22" s="10">
        <v>2.0</v>
      </c>
      <c r="T22" s="10"/>
      <c r="U22" s="10" t="s">
        <v>23</v>
      </c>
    </row>
    <row r="23">
      <c r="A23" s="9" t="str">
        <f>HYPERLINK("https://docs.google.com/spreadsheets/d/1hg_GT4r2smQsgkwEYBqHOukVavnNSyncsyfceWDpOho/edit?usp=sharing","Amber Brkich")</f>
        <v>Amber Brkich</v>
      </c>
      <c r="B23" s="10">
        <v>8.0</v>
      </c>
      <c r="C23" s="10">
        <v>48.0</v>
      </c>
      <c r="D23" s="10">
        <v>15.0</v>
      </c>
      <c r="E23" s="11">
        <v>3.2</v>
      </c>
      <c r="F23" s="12">
        <v>0.0947</v>
      </c>
      <c r="G23" s="10">
        <v>39.0</v>
      </c>
      <c r="H23" s="10">
        <v>1.0</v>
      </c>
      <c r="I23" s="10" t="s">
        <v>9</v>
      </c>
      <c r="J23" s="10" t="s">
        <v>28</v>
      </c>
      <c r="K23" s="10" t="s">
        <v>29</v>
      </c>
      <c r="L23" s="13">
        <v>10.0</v>
      </c>
      <c r="M23" s="13">
        <v>5.0</v>
      </c>
      <c r="N23" s="13">
        <v>1.0</v>
      </c>
      <c r="O23" s="13">
        <v>10.0</v>
      </c>
      <c r="P23" s="10" t="s">
        <v>23</v>
      </c>
      <c r="Q23" s="10" t="s">
        <v>23</v>
      </c>
      <c r="R23" s="10"/>
      <c r="S23" s="10" t="s">
        <v>23</v>
      </c>
      <c r="T23" s="10"/>
      <c r="U23" s="10" t="s">
        <v>23</v>
      </c>
    </row>
    <row r="24">
      <c r="A24" s="9" t="str">
        <f>HYPERLINK("https://docs.google.com/spreadsheets/d/1iNFGyKFcJm-tPp7Dg94yi7mHCDbJssmAD_PiaDM_tAE/edit?usp=sharing","Natalie Anderson")</f>
        <v>Natalie Anderson</v>
      </c>
      <c r="B24" s="10">
        <v>29.0</v>
      </c>
      <c r="C24" s="10">
        <v>46.0</v>
      </c>
      <c r="D24" s="10">
        <v>14.0</v>
      </c>
      <c r="E24" s="11">
        <v>3.29</v>
      </c>
      <c r="F24" s="12">
        <v>0.1034</v>
      </c>
      <c r="G24" s="10">
        <v>39.0</v>
      </c>
      <c r="H24" s="10">
        <v>2.0</v>
      </c>
      <c r="I24" s="10" t="s">
        <v>9</v>
      </c>
      <c r="J24" s="10" t="s">
        <v>28</v>
      </c>
      <c r="K24" s="10" t="s">
        <v>29</v>
      </c>
      <c r="L24" s="23">
        <v>7.0</v>
      </c>
      <c r="M24" s="23">
        <v>5.0</v>
      </c>
      <c r="N24" s="23">
        <v>1.0</v>
      </c>
      <c r="O24" s="23">
        <v>10.0</v>
      </c>
      <c r="P24" s="23">
        <v>2.0</v>
      </c>
      <c r="Q24" s="23" t="s">
        <v>23</v>
      </c>
      <c r="R24" s="23"/>
      <c r="S24" s="23">
        <v>1.0</v>
      </c>
      <c r="T24" s="23"/>
      <c r="U24" s="10" t="s">
        <v>23</v>
      </c>
    </row>
    <row r="25">
      <c r="A25" s="15" t="str">
        <f>HYPERLINK("https://docs.google.com/spreadsheets/d/1tElnwN2HVf964gGw8Ei53RyfjarS40wkDY3zivAPWp0/edit?usp=sharing","Sarah Lacina")</f>
        <v>Sarah Lacina</v>
      </c>
      <c r="B25" s="13">
        <v>34.0</v>
      </c>
      <c r="C25" s="13">
        <v>45.0</v>
      </c>
      <c r="D25" s="13">
        <v>14.0</v>
      </c>
      <c r="E25" s="16">
        <v>3.21</v>
      </c>
      <c r="F25" s="17">
        <v>0.1092</v>
      </c>
      <c r="G25" s="13">
        <v>39.0</v>
      </c>
      <c r="H25" s="13">
        <v>2.0</v>
      </c>
      <c r="I25" s="13" t="s">
        <v>9</v>
      </c>
      <c r="J25" s="13" t="s">
        <v>28</v>
      </c>
      <c r="K25" s="13" t="s">
        <v>36</v>
      </c>
      <c r="L25" s="13">
        <v>9.0</v>
      </c>
      <c r="M25" s="13">
        <v>5.0</v>
      </c>
      <c r="N25" s="13" t="s">
        <v>23</v>
      </c>
      <c r="O25" s="13">
        <v>13.0</v>
      </c>
      <c r="P25" s="13" t="s">
        <v>23</v>
      </c>
      <c r="Q25" s="13" t="s">
        <v>23</v>
      </c>
      <c r="R25" s="13"/>
      <c r="S25" s="13">
        <v>1.0</v>
      </c>
      <c r="T25" s="13">
        <v>2.0</v>
      </c>
      <c r="U25" s="13" t="s">
        <v>23</v>
      </c>
    </row>
    <row r="26">
      <c r="A26" s="9" t="str">
        <f>HYPERLINK("https://docs.google.com/spreadsheets/d/1EsGJrNyA7pLwFUlZ6WfOkbnPz58Cle9N9c6epQSDRVA/edit?usp=sharing","Jeremy Collins")</f>
        <v>Jeremy Collins</v>
      </c>
      <c r="B26" s="10">
        <v>31.0</v>
      </c>
      <c r="C26" s="10">
        <v>44.0</v>
      </c>
      <c r="D26" s="10">
        <v>14.0</v>
      </c>
      <c r="E26" s="11">
        <v>3.14</v>
      </c>
      <c r="F26" s="12">
        <v>0.1005</v>
      </c>
      <c r="G26" s="10">
        <v>39.0</v>
      </c>
      <c r="H26" s="10" t="s">
        <v>23</v>
      </c>
      <c r="I26" s="10" t="s">
        <v>9</v>
      </c>
      <c r="J26" s="10" t="s">
        <v>28</v>
      </c>
      <c r="K26" s="10" t="s">
        <v>36</v>
      </c>
      <c r="L26" s="13">
        <v>4.0</v>
      </c>
      <c r="M26" s="13">
        <v>5.0</v>
      </c>
      <c r="N26" s="13">
        <v>1.0</v>
      </c>
      <c r="O26" s="13">
        <v>12.0</v>
      </c>
      <c r="P26" s="10" t="s">
        <v>23</v>
      </c>
      <c r="Q26" s="10" t="s">
        <v>23</v>
      </c>
      <c r="R26" s="10"/>
      <c r="S26" s="10">
        <v>2.0</v>
      </c>
      <c r="T26" s="10"/>
      <c r="U26" s="10" t="s">
        <v>23</v>
      </c>
    </row>
    <row r="27">
      <c r="A27" s="9" t="str">
        <f>HYPERLINK("https://docs.google.com/spreadsheets/d/1nYlVL4RxK2ZUH-a4MfKCalHyEjDRWz2ZumhyoaYsjTE/edit?usp=sharing","Judson ""Fabio"" Birza")</f>
        <v>Judson "Fabio" Birza</v>
      </c>
      <c r="B27" s="10">
        <v>21.0</v>
      </c>
      <c r="C27" s="10">
        <v>40.0</v>
      </c>
      <c r="D27" s="10">
        <v>14.0</v>
      </c>
      <c r="E27" s="11">
        <v>2.86</v>
      </c>
      <c r="F27" s="12">
        <v>0.0962</v>
      </c>
      <c r="G27" s="10">
        <v>39.0</v>
      </c>
      <c r="H27" s="10">
        <v>1.0</v>
      </c>
      <c r="I27" s="10" t="s">
        <v>9</v>
      </c>
      <c r="J27" s="10" t="s">
        <v>28</v>
      </c>
      <c r="K27" s="10" t="s">
        <v>36</v>
      </c>
      <c r="L27" s="13">
        <v>7.0</v>
      </c>
      <c r="M27" s="13">
        <v>4.0</v>
      </c>
      <c r="N27" s="13">
        <v>4.0</v>
      </c>
      <c r="O27" s="13">
        <v>11.0</v>
      </c>
      <c r="P27" s="10" t="s">
        <v>23</v>
      </c>
      <c r="Q27" s="10" t="s">
        <v>23</v>
      </c>
      <c r="R27" s="10"/>
      <c r="S27" s="10" t="s">
        <v>23</v>
      </c>
      <c r="T27" s="10"/>
      <c r="U27" s="10" t="s">
        <v>23</v>
      </c>
    </row>
    <row r="28">
      <c r="A28" s="15" t="str">
        <f>HYPERLINK("https://docs.google.com/spreadsheets/d/1sWOJC8eB6rVdXdWiWMgfbfgw2325jIh1ODKxyaCmSGc/edit?usp=sharing","Danni Boatwright")</f>
        <v>Danni Boatwright</v>
      </c>
      <c r="B28" s="13">
        <v>11.0</v>
      </c>
      <c r="C28" s="13">
        <v>40.0</v>
      </c>
      <c r="D28" s="13">
        <v>14.0</v>
      </c>
      <c r="E28" s="16">
        <v>2.86</v>
      </c>
      <c r="F28" s="17">
        <v>0.0907</v>
      </c>
      <c r="G28" s="13">
        <v>39.0</v>
      </c>
      <c r="H28" s="13">
        <v>1.0</v>
      </c>
      <c r="I28" s="13" t="s">
        <v>9</v>
      </c>
      <c r="J28" s="13" t="s">
        <v>28</v>
      </c>
      <c r="K28" s="13" t="s">
        <v>29</v>
      </c>
      <c r="L28" s="13">
        <v>9.0</v>
      </c>
      <c r="M28" s="13">
        <v>3.0</v>
      </c>
      <c r="N28" s="13">
        <v>2.0</v>
      </c>
      <c r="O28" s="13">
        <v>13.0</v>
      </c>
      <c r="P28" s="13" t="s">
        <v>23</v>
      </c>
      <c r="Q28" s="13" t="s">
        <v>23</v>
      </c>
      <c r="R28" s="13"/>
      <c r="S28" s="13" t="s">
        <v>23</v>
      </c>
      <c r="T28" s="13">
        <v>1.0</v>
      </c>
      <c r="U28" s="13" t="s">
        <v>23</v>
      </c>
    </row>
    <row r="29">
      <c r="A29" s="15" t="str">
        <f>HYPERLINK("https://docs.google.com/spreadsheets/d/1Hf_PbZTXAuooCoiF7c3Bz80t5-zCjdWHF8wQ_HyodNs/edit?usp=sharing","Wendell Holland")</f>
        <v>Wendell Holland</v>
      </c>
      <c r="B29" s="13">
        <v>36.0</v>
      </c>
      <c r="C29" s="13">
        <v>39.0</v>
      </c>
      <c r="D29" s="13">
        <v>14.0</v>
      </c>
      <c r="E29" s="16">
        <v>2.79</v>
      </c>
      <c r="F29" s="17">
        <v>0.0992</v>
      </c>
      <c r="G29" s="13">
        <v>39.0</v>
      </c>
      <c r="H29" s="13">
        <v>3.0</v>
      </c>
      <c r="I29" s="13" t="s">
        <v>9</v>
      </c>
      <c r="J29" s="13" t="s">
        <v>28</v>
      </c>
      <c r="K29" s="13" t="s">
        <v>36</v>
      </c>
      <c r="L29" s="13">
        <v>8.0</v>
      </c>
      <c r="M29" s="13">
        <v>6.0</v>
      </c>
      <c r="N29" s="13">
        <v>2.0</v>
      </c>
      <c r="O29" s="13">
        <v>11.0</v>
      </c>
      <c r="P29" s="13">
        <v>1.0</v>
      </c>
      <c r="Q29" s="13" t="s">
        <v>23</v>
      </c>
      <c r="R29" s="13"/>
      <c r="S29" s="13">
        <v>1.0</v>
      </c>
      <c r="T29" s="13">
        <v>1.0</v>
      </c>
      <c r="U29" s="13" t="s">
        <v>23</v>
      </c>
    </row>
    <row r="30">
      <c r="A30" s="9" t="str">
        <f>HYPERLINK("https://docs.google.com/spreadsheets/d/1ReMaq-fM8zzflOjjrMrgnxEsdZxPIPIJqiZ9cCLO3cE/edit?usp=sharing","Denise Stapley")</f>
        <v>Denise Stapley</v>
      </c>
      <c r="B30" s="10">
        <v>25.0</v>
      </c>
      <c r="C30" s="10">
        <v>37.0</v>
      </c>
      <c r="D30" s="10">
        <v>14.0</v>
      </c>
      <c r="E30" s="11">
        <v>2.64</v>
      </c>
      <c r="F30" s="12">
        <v>0.0851</v>
      </c>
      <c r="G30" s="10">
        <v>39.0</v>
      </c>
      <c r="H30" s="10" t="s">
        <v>23</v>
      </c>
      <c r="I30" s="10" t="s">
        <v>9</v>
      </c>
      <c r="J30" s="10" t="s">
        <v>28</v>
      </c>
      <c r="K30" s="10" t="s">
        <v>29</v>
      </c>
      <c r="L30" s="13">
        <v>5.0</v>
      </c>
      <c r="M30" s="13" t="s">
        <v>23</v>
      </c>
      <c r="N30" s="13">
        <v>1.0</v>
      </c>
      <c r="O30" s="13">
        <v>15.0</v>
      </c>
      <c r="P30" s="10" t="s">
        <v>23</v>
      </c>
      <c r="Q30" s="10" t="s">
        <v>23</v>
      </c>
      <c r="R30" s="10"/>
      <c r="S30" s="10" t="s">
        <v>23</v>
      </c>
      <c r="T30" s="10"/>
      <c r="U30" s="10" t="s">
        <v>23</v>
      </c>
    </row>
    <row r="31">
      <c r="A31" s="9" t="str">
        <f>HYPERLINK("https://docs.google.com/spreadsheets/d/1nRsx7fR5xbH1eAbI_vBDvqXOgh7mXIwmZNhzrVL6oGM/edit?usp=sharing","Vecepia Towery")</f>
        <v>Vecepia Towery</v>
      </c>
      <c r="B31" s="10">
        <v>4.0</v>
      </c>
      <c r="C31" s="10">
        <v>36.0</v>
      </c>
      <c r="D31" s="10">
        <v>13.0</v>
      </c>
      <c r="E31" s="11">
        <v>2.77</v>
      </c>
      <c r="F31" s="12">
        <v>0.0753</v>
      </c>
      <c r="G31" s="10">
        <v>39.0</v>
      </c>
      <c r="H31" s="10">
        <v>2.0</v>
      </c>
      <c r="I31" s="10" t="s">
        <v>9</v>
      </c>
      <c r="J31" s="10" t="s">
        <v>28</v>
      </c>
      <c r="K31" s="10" t="s">
        <v>30</v>
      </c>
      <c r="L31" s="13" t="s">
        <v>23</v>
      </c>
      <c r="M31" s="13">
        <v>2.0</v>
      </c>
      <c r="N31" s="13">
        <v>2.0</v>
      </c>
      <c r="O31" s="13">
        <v>13.0</v>
      </c>
      <c r="P31" s="10" t="s">
        <v>23</v>
      </c>
      <c r="Q31" s="10" t="s">
        <v>23</v>
      </c>
      <c r="R31" s="10"/>
      <c r="S31" s="10" t="s">
        <v>23</v>
      </c>
      <c r="T31" s="10"/>
      <c r="U31" s="10" t="s">
        <v>23</v>
      </c>
    </row>
    <row r="32">
      <c r="A32" s="9" t="str">
        <f>HYPERLINK("https://docs.google.com/spreadsheets/d/1OvIOVR4AMBMcafVt9o6KEur-eEFhew1kw_KUv3DV3Xs/edit?usp=sharing","Sophie Clarke")</f>
        <v>Sophie Clarke</v>
      </c>
      <c r="B32" s="10">
        <v>23.0</v>
      </c>
      <c r="C32" s="10">
        <v>25.0</v>
      </c>
      <c r="D32" s="10">
        <v>14.0</v>
      </c>
      <c r="E32" s="11">
        <v>1.79</v>
      </c>
      <c r="F32" s="12">
        <v>0.0623</v>
      </c>
      <c r="G32" s="10">
        <v>39.0</v>
      </c>
      <c r="H32" s="10">
        <v>1.0</v>
      </c>
      <c r="I32" s="10" t="s">
        <v>9</v>
      </c>
      <c r="J32" s="10" t="s">
        <v>28</v>
      </c>
      <c r="K32" s="10" t="s">
        <v>29</v>
      </c>
      <c r="L32" s="13">
        <v>4.0</v>
      </c>
      <c r="M32" s="13">
        <v>4.0</v>
      </c>
      <c r="N32" s="13">
        <v>3.0</v>
      </c>
      <c r="O32" s="13">
        <v>14.0</v>
      </c>
      <c r="P32" s="13" t="s">
        <v>23</v>
      </c>
      <c r="Q32" s="13" t="s">
        <v>23</v>
      </c>
      <c r="R32" s="13"/>
      <c r="S32" s="10" t="s">
        <v>23</v>
      </c>
      <c r="T32" s="10"/>
      <c r="U32" s="10" t="s">
        <v>23</v>
      </c>
    </row>
    <row r="33">
      <c r="B33" s="28"/>
      <c r="C33" s="28"/>
      <c r="D33" s="28"/>
      <c r="E33" s="29"/>
      <c r="F33" s="29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>
      <c r="B34" s="28"/>
      <c r="C34" s="28"/>
      <c r="D34" s="28"/>
      <c r="E34" s="29"/>
      <c r="F34" s="29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</row>
    <row r="35">
      <c r="B35" s="28"/>
      <c r="C35" s="28"/>
      <c r="D35" s="28"/>
      <c r="E35" s="29"/>
      <c r="F35" s="2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>
      <c r="B36" s="28"/>
      <c r="C36" s="28"/>
      <c r="D36" s="28"/>
      <c r="E36" s="29"/>
      <c r="F36" s="29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>
      <c r="B37" s="28"/>
      <c r="C37" s="28"/>
      <c r="D37" s="28"/>
      <c r="E37" s="29"/>
      <c r="F37" s="29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>
      <c r="B38" s="28"/>
      <c r="C38" s="28"/>
      <c r="D38" s="28"/>
      <c r="E38" s="29"/>
      <c r="F38" s="29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>
      <c r="B39" s="28"/>
      <c r="C39" s="28"/>
      <c r="D39" s="28"/>
      <c r="E39" s="29"/>
      <c r="F39" s="29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>
      <c r="B40" s="28"/>
      <c r="C40" s="28"/>
      <c r="D40" s="28"/>
      <c r="E40" s="29"/>
      <c r="F40" s="29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>
      <c r="B41" s="28"/>
      <c r="C41" s="28"/>
      <c r="D41" s="28"/>
      <c r="E41" s="29"/>
      <c r="F41" s="29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>
      <c r="B42" s="28"/>
      <c r="C42" s="28"/>
      <c r="D42" s="28"/>
      <c r="E42" s="29"/>
      <c r="F42" s="29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>
      <c r="B43" s="28"/>
      <c r="C43" s="28"/>
      <c r="D43" s="28"/>
      <c r="E43" s="29"/>
      <c r="F43" s="29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</row>
    <row r="44">
      <c r="B44" s="28"/>
      <c r="C44" s="28"/>
      <c r="D44" s="28"/>
      <c r="E44" s="29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>
      <c r="B45" s="28"/>
      <c r="C45" s="28"/>
      <c r="D45" s="28"/>
      <c r="E45" s="29"/>
      <c r="F45" s="29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>
      <c r="B46" s="28"/>
      <c r="C46" s="28"/>
      <c r="D46" s="28"/>
      <c r="E46" s="29"/>
      <c r="F46" s="29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>
      <c r="B47" s="28"/>
      <c r="C47" s="28"/>
      <c r="D47" s="28"/>
      <c r="E47" s="29"/>
      <c r="F47" s="29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</row>
    <row r="48">
      <c r="B48" s="28"/>
      <c r="C48" s="28"/>
      <c r="D48" s="28"/>
      <c r="E48" s="29"/>
      <c r="F48" s="29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</row>
    <row r="49">
      <c r="B49" s="28"/>
      <c r="C49" s="28"/>
      <c r="D49" s="28"/>
      <c r="E49" s="29"/>
      <c r="F49" s="29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>
      <c r="B50" s="28"/>
      <c r="C50" s="28"/>
      <c r="D50" s="28"/>
      <c r="E50" s="29"/>
      <c r="F50" s="29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</row>
    <row r="51">
      <c r="B51" s="28"/>
      <c r="C51" s="28"/>
      <c r="D51" s="28"/>
      <c r="E51" s="29"/>
      <c r="F51" s="29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</row>
    <row r="52">
      <c r="B52" s="28"/>
      <c r="C52" s="28"/>
      <c r="D52" s="28"/>
      <c r="E52" s="29"/>
      <c r="F52" s="29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</row>
    <row r="53">
      <c r="B53" s="28"/>
      <c r="C53" s="28"/>
      <c r="D53" s="28"/>
      <c r="E53" s="29"/>
      <c r="F53" s="29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</row>
    <row r="54">
      <c r="B54" s="28"/>
      <c r="C54" s="28"/>
      <c r="D54" s="28"/>
      <c r="E54" s="29"/>
      <c r="F54" s="29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</row>
    <row r="55">
      <c r="B55" s="28"/>
      <c r="C55" s="28"/>
      <c r="D55" s="28"/>
      <c r="E55" s="29"/>
      <c r="F55" s="29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</row>
    <row r="56">
      <c r="B56" s="28"/>
      <c r="C56" s="28"/>
      <c r="D56" s="28"/>
      <c r="E56" s="29"/>
      <c r="F56" s="29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</row>
    <row r="57">
      <c r="B57" s="28"/>
      <c r="C57" s="28"/>
      <c r="D57" s="28"/>
      <c r="E57" s="29"/>
      <c r="F57" s="29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</row>
    <row r="58">
      <c r="B58" s="28"/>
      <c r="C58" s="28"/>
      <c r="D58" s="28"/>
      <c r="E58" s="29"/>
      <c r="F58" s="29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</row>
    <row r="59">
      <c r="B59" s="28"/>
      <c r="C59" s="28"/>
      <c r="D59" s="28"/>
      <c r="E59" s="29"/>
      <c r="F59" s="29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</row>
    <row r="60">
      <c r="B60" s="28"/>
      <c r="C60" s="28"/>
      <c r="D60" s="28"/>
      <c r="E60" s="29"/>
      <c r="F60" s="29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</row>
    <row r="61">
      <c r="B61" s="28"/>
      <c r="C61" s="28"/>
      <c r="D61" s="28"/>
      <c r="E61" s="29"/>
      <c r="F61" s="29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</row>
    <row r="62">
      <c r="B62" s="28"/>
      <c r="C62" s="28"/>
      <c r="D62" s="28"/>
      <c r="E62" s="29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</row>
    <row r="63">
      <c r="B63" s="28"/>
      <c r="C63" s="28"/>
      <c r="D63" s="28"/>
      <c r="E63" s="29"/>
      <c r="F63" s="29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</row>
    <row r="64">
      <c r="B64" s="28"/>
      <c r="C64" s="28"/>
      <c r="D64" s="28"/>
      <c r="E64" s="29"/>
      <c r="F64" s="29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</row>
    <row r="65">
      <c r="B65" s="28"/>
      <c r="C65" s="28"/>
      <c r="D65" s="28"/>
      <c r="E65" s="29"/>
      <c r="F65" s="29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</row>
    <row r="66">
      <c r="B66" s="28"/>
      <c r="C66" s="28"/>
      <c r="D66" s="28"/>
      <c r="E66" s="29"/>
      <c r="F66" s="29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</row>
    <row r="67">
      <c r="B67" s="28"/>
      <c r="C67" s="28"/>
      <c r="D67" s="28"/>
      <c r="E67" s="29"/>
      <c r="F67" s="29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</row>
    <row r="68">
      <c r="B68" s="28"/>
      <c r="C68" s="28"/>
      <c r="D68" s="28"/>
      <c r="E68" s="29"/>
      <c r="F68" s="29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</row>
    <row r="69">
      <c r="B69" s="28"/>
      <c r="C69" s="28"/>
      <c r="D69" s="28"/>
      <c r="E69" s="29"/>
      <c r="F69" s="29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</row>
    <row r="70">
      <c r="B70" s="28"/>
      <c r="C70" s="28"/>
      <c r="D70" s="28"/>
      <c r="E70" s="29"/>
      <c r="F70" s="29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</row>
    <row r="71">
      <c r="B71" s="28"/>
      <c r="C71" s="28"/>
      <c r="D71" s="28"/>
      <c r="E71" s="29"/>
      <c r="F71" s="29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</row>
    <row r="72">
      <c r="B72" s="28"/>
      <c r="C72" s="28"/>
      <c r="D72" s="28"/>
      <c r="E72" s="29"/>
      <c r="F72" s="29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</row>
    <row r="73">
      <c r="B73" s="28"/>
      <c r="C73" s="28"/>
      <c r="D73" s="28"/>
      <c r="E73" s="29"/>
      <c r="F73" s="29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</row>
    <row r="74">
      <c r="B74" s="28"/>
      <c r="C74" s="28"/>
      <c r="D74" s="28"/>
      <c r="E74" s="29"/>
      <c r="F74" s="29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</row>
    <row r="75">
      <c r="B75" s="28"/>
      <c r="C75" s="28"/>
      <c r="D75" s="28"/>
      <c r="E75" s="29"/>
      <c r="F75" s="29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</row>
    <row r="76">
      <c r="B76" s="28"/>
      <c r="C76" s="28"/>
      <c r="D76" s="28"/>
      <c r="E76" s="29"/>
      <c r="F76" s="29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</row>
    <row r="77">
      <c r="B77" s="28"/>
      <c r="C77" s="28"/>
      <c r="D77" s="28"/>
      <c r="E77" s="29"/>
      <c r="F77" s="29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</row>
    <row r="78">
      <c r="B78" s="28"/>
      <c r="C78" s="28"/>
      <c r="D78" s="28"/>
      <c r="E78" s="29"/>
      <c r="F78" s="29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</row>
    <row r="79">
      <c r="B79" s="28"/>
      <c r="C79" s="28"/>
      <c r="D79" s="28"/>
      <c r="E79" s="29"/>
      <c r="F79" s="29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</row>
    <row r="80">
      <c r="B80" s="28"/>
      <c r="C80" s="28"/>
      <c r="D80" s="28"/>
      <c r="E80" s="29"/>
      <c r="F80" s="29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</row>
    <row r="81">
      <c r="B81" s="28"/>
      <c r="C81" s="28"/>
      <c r="D81" s="28"/>
      <c r="E81" s="29"/>
      <c r="F81" s="29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</row>
    <row r="82">
      <c r="B82" s="28"/>
      <c r="C82" s="28"/>
      <c r="D82" s="28"/>
      <c r="E82" s="29"/>
      <c r="F82" s="29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</row>
    <row r="83">
      <c r="B83" s="28"/>
      <c r="C83" s="28"/>
      <c r="D83" s="28"/>
      <c r="E83" s="29"/>
      <c r="F83" s="29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</row>
    <row r="84">
      <c r="B84" s="28"/>
      <c r="C84" s="28"/>
      <c r="D84" s="28"/>
      <c r="E84" s="29"/>
      <c r="F84" s="29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</row>
    <row r="85">
      <c r="B85" s="28"/>
      <c r="C85" s="28"/>
      <c r="D85" s="28"/>
      <c r="E85" s="29"/>
      <c r="F85" s="29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</row>
    <row r="86">
      <c r="B86" s="28"/>
      <c r="C86" s="28"/>
      <c r="D86" s="28"/>
      <c r="E86" s="29"/>
      <c r="F86" s="29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</row>
    <row r="87">
      <c r="B87" s="28"/>
      <c r="C87" s="28"/>
      <c r="D87" s="28"/>
      <c r="E87" s="29"/>
      <c r="F87" s="29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</row>
    <row r="88">
      <c r="B88" s="28"/>
      <c r="C88" s="28"/>
      <c r="D88" s="28"/>
      <c r="E88" s="29"/>
      <c r="F88" s="29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</row>
    <row r="89">
      <c r="B89" s="28"/>
      <c r="C89" s="28"/>
      <c r="D89" s="28"/>
      <c r="E89" s="29"/>
      <c r="F89" s="29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</row>
    <row r="90">
      <c r="B90" s="28"/>
      <c r="C90" s="28"/>
      <c r="D90" s="28"/>
      <c r="E90" s="29"/>
      <c r="F90" s="29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</row>
    <row r="91">
      <c r="B91" s="28"/>
      <c r="C91" s="28"/>
      <c r="D91" s="28"/>
      <c r="E91" s="29"/>
      <c r="F91" s="29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</row>
    <row r="92">
      <c r="B92" s="28"/>
      <c r="C92" s="28"/>
      <c r="D92" s="28"/>
      <c r="E92" s="29"/>
      <c r="F92" s="29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</row>
    <row r="93">
      <c r="B93" s="28"/>
      <c r="C93" s="28"/>
      <c r="D93" s="28"/>
      <c r="E93" s="29"/>
      <c r="F93" s="29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</row>
    <row r="94">
      <c r="B94" s="28"/>
      <c r="C94" s="28"/>
      <c r="D94" s="28"/>
      <c r="E94" s="29"/>
      <c r="F94" s="29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</row>
    <row r="95">
      <c r="B95" s="28"/>
      <c r="C95" s="28"/>
      <c r="D95" s="28"/>
      <c r="E95" s="29"/>
      <c r="F95" s="29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</row>
    <row r="96">
      <c r="B96" s="28"/>
      <c r="C96" s="28"/>
      <c r="D96" s="28"/>
      <c r="E96" s="29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</row>
    <row r="97">
      <c r="B97" s="28"/>
      <c r="C97" s="28"/>
      <c r="D97" s="28"/>
      <c r="E97" s="29"/>
      <c r="F97" s="29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</row>
    <row r="98">
      <c r="B98" s="28"/>
      <c r="C98" s="28"/>
      <c r="D98" s="28"/>
      <c r="E98" s="29"/>
      <c r="F98" s="29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</row>
    <row r="99">
      <c r="B99" s="28"/>
      <c r="C99" s="28"/>
      <c r="D99" s="28"/>
      <c r="E99" s="29"/>
      <c r="F99" s="29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</row>
    <row r="100">
      <c r="B100" s="28"/>
      <c r="C100" s="28"/>
      <c r="D100" s="28"/>
      <c r="E100" s="29"/>
      <c r="F100" s="29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</row>
    <row r="101">
      <c r="B101" s="28"/>
      <c r="C101" s="28"/>
      <c r="D101" s="28"/>
      <c r="E101" s="29"/>
      <c r="F101" s="29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</row>
    <row r="102">
      <c r="B102" s="28"/>
      <c r="C102" s="28"/>
      <c r="D102" s="28"/>
      <c r="E102" s="29"/>
      <c r="F102" s="29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</row>
    <row r="103">
      <c r="B103" s="28"/>
      <c r="C103" s="28"/>
      <c r="D103" s="28"/>
      <c r="E103" s="29"/>
      <c r="F103" s="29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</row>
    <row r="104">
      <c r="B104" s="28"/>
      <c r="C104" s="28"/>
      <c r="D104" s="28"/>
      <c r="E104" s="29"/>
      <c r="F104" s="29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</row>
    <row r="105">
      <c r="B105" s="28"/>
      <c r="C105" s="28"/>
      <c r="D105" s="28"/>
      <c r="E105" s="29"/>
      <c r="F105" s="29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</row>
    <row r="106">
      <c r="B106" s="28"/>
      <c r="C106" s="28"/>
      <c r="D106" s="28"/>
      <c r="E106" s="29"/>
      <c r="F106" s="29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  <row r="107">
      <c r="B107" s="28"/>
      <c r="C107" s="28"/>
      <c r="D107" s="28"/>
      <c r="E107" s="29"/>
      <c r="F107" s="29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</row>
    <row r="108">
      <c r="B108" s="28"/>
      <c r="C108" s="28"/>
      <c r="D108" s="28"/>
      <c r="E108" s="29"/>
      <c r="F108" s="29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</row>
    <row r="109">
      <c r="B109" s="28"/>
      <c r="C109" s="28"/>
      <c r="D109" s="28"/>
      <c r="E109" s="29"/>
      <c r="F109" s="29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</row>
    <row r="110">
      <c r="B110" s="28"/>
      <c r="C110" s="28"/>
      <c r="D110" s="28"/>
      <c r="E110" s="29"/>
      <c r="F110" s="29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</row>
    <row r="111">
      <c r="B111" s="28"/>
      <c r="C111" s="28"/>
      <c r="D111" s="28"/>
      <c r="E111" s="29"/>
      <c r="F111" s="29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</row>
    <row r="112">
      <c r="B112" s="28"/>
      <c r="C112" s="28"/>
      <c r="D112" s="28"/>
      <c r="E112" s="29"/>
      <c r="F112" s="29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</row>
    <row r="113">
      <c r="B113" s="28"/>
      <c r="C113" s="28"/>
      <c r="D113" s="28"/>
      <c r="E113" s="29"/>
      <c r="F113" s="29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</row>
    <row r="114">
      <c r="B114" s="28"/>
      <c r="C114" s="28"/>
      <c r="D114" s="28"/>
      <c r="E114" s="29"/>
      <c r="F114" s="29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</row>
    <row r="115">
      <c r="B115" s="28"/>
      <c r="C115" s="28"/>
      <c r="D115" s="28"/>
      <c r="E115" s="29"/>
      <c r="F115" s="29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</row>
    <row r="116">
      <c r="B116" s="28"/>
      <c r="C116" s="28"/>
      <c r="D116" s="28"/>
      <c r="E116" s="29"/>
      <c r="F116" s="29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</row>
    <row r="117">
      <c r="B117" s="28"/>
      <c r="C117" s="28"/>
      <c r="D117" s="28"/>
      <c r="E117" s="29"/>
      <c r="F117" s="29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</row>
    <row r="118">
      <c r="B118" s="28"/>
      <c r="C118" s="28"/>
      <c r="D118" s="28"/>
      <c r="E118" s="29"/>
      <c r="F118" s="29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</row>
    <row r="119">
      <c r="B119" s="28"/>
      <c r="C119" s="28"/>
      <c r="D119" s="28"/>
      <c r="E119" s="29"/>
      <c r="F119" s="29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</row>
    <row r="120">
      <c r="B120" s="28"/>
      <c r="C120" s="28"/>
      <c r="D120" s="28"/>
      <c r="E120" s="29"/>
      <c r="F120" s="29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</row>
    <row r="121">
      <c r="B121" s="28"/>
      <c r="C121" s="28"/>
      <c r="D121" s="28"/>
      <c r="E121" s="29"/>
      <c r="F121" s="29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</row>
    <row r="122">
      <c r="B122" s="28"/>
      <c r="C122" s="28"/>
      <c r="D122" s="28"/>
      <c r="E122" s="29"/>
      <c r="F122" s="29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</row>
    <row r="123">
      <c r="B123" s="28"/>
      <c r="C123" s="28"/>
      <c r="D123" s="28"/>
      <c r="E123" s="29"/>
      <c r="F123" s="29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</row>
    <row r="124">
      <c r="B124" s="28"/>
      <c r="C124" s="28"/>
      <c r="D124" s="28"/>
      <c r="E124" s="29"/>
      <c r="F124" s="29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</row>
    <row r="125">
      <c r="B125" s="28"/>
      <c r="C125" s="28"/>
      <c r="D125" s="28"/>
      <c r="E125" s="29"/>
      <c r="F125" s="29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</row>
    <row r="126">
      <c r="B126" s="28"/>
      <c r="C126" s="28"/>
      <c r="D126" s="28"/>
      <c r="E126" s="29"/>
      <c r="F126" s="29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</row>
    <row r="127">
      <c r="B127" s="28"/>
      <c r="C127" s="28"/>
      <c r="D127" s="28"/>
      <c r="E127" s="29"/>
      <c r="F127" s="29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</row>
    <row r="128">
      <c r="B128" s="28"/>
      <c r="C128" s="28"/>
      <c r="D128" s="28"/>
      <c r="E128" s="29"/>
      <c r="F128" s="29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</row>
    <row r="129">
      <c r="B129" s="28"/>
      <c r="C129" s="28"/>
      <c r="D129" s="28"/>
      <c r="E129" s="29"/>
      <c r="F129" s="29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</row>
    <row r="130">
      <c r="B130" s="28"/>
      <c r="C130" s="28"/>
      <c r="D130" s="28"/>
      <c r="E130" s="29"/>
      <c r="F130" s="29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</row>
    <row r="131">
      <c r="B131" s="28"/>
      <c r="C131" s="28"/>
      <c r="D131" s="28"/>
      <c r="E131" s="29"/>
      <c r="F131" s="29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</row>
    <row r="132">
      <c r="B132" s="28"/>
      <c r="C132" s="28"/>
      <c r="D132" s="28"/>
      <c r="E132" s="29"/>
      <c r="F132" s="29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</row>
    <row r="133">
      <c r="B133" s="28"/>
      <c r="C133" s="28"/>
      <c r="D133" s="28"/>
      <c r="E133" s="29"/>
      <c r="F133" s="29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</row>
    <row r="134">
      <c r="B134" s="28"/>
      <c r="C134" s="28"/>
      <c r="D134" s="28"/>
      <c r="E134" s="29"/>
      <c r="F134" s="29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</row>
    <row r="135">
      <c r="B135" s="28"/>
      <c r="C135" s="28"/>
      <c r="D135" s="28"/>
      <c r="E135" s="29"/>
      <c r="F135" s="29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</row>
    <row r="136">
      <c r="B136" s="28"/>
      <c r="C136" s="28"/>
      <c r="D136" s="28"/>
      <c r="E136" s="29"/>
      <c r="F136" s="29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</row>
    <row r="137">
      <c r="B137" s="28"/>
      <c r="C137" s="28"/>
      <c r="D137" s="28"/>
      <c r="E137" s="29"/>
      <c r="F137" s="29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</row>
    <row r="138">
      <c r="B138" s="28"/>
      <c r="C138" s="28"/>
      <c r="D138" s="28"/>
      <c r="E138" s="29"/>
      <c r="F138" s="29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</row>
    <row r="139">
      <c r="B139" s="28"/>
      <c r="C139" s="28"/>
      <c r="D139" s="28"/>
      <c r="E139" s="29"/>
      <c r="F139" s="29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</row>
    <row r="140">
      <c r="B140" s="28"/>
      <c r="C140" s="28"/>
      <c r="D140" s="28"/>
      <c r="E140" s="29"/>
      <c r="F140" s="29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</row>
    <row r="141">
      <c r="B141" s="28"/>
      <c r="C141" s="28"/>
      <c r="D141" s="28"/>
      <c r="E141" s="29"/>
      <c r="F141" s="29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</row>
    <row r="142">
      <c r="B142" s="28"/>
      <c r="C142" s="28"/>
      <c r="D142" s="28"/>
      <c r="E142" s="29"/>
      <c r="F142" s="29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</row>
    <row r="143">
      <c r="B143" s="28"/>
      <c r="C143" s="28"/>
      <c r="D143" s="28"/>
      <c r="E143" s="29"/>
      <c r="F143" s="29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</row>
    <row r="144">
      <c r="B144" s="28"/>
      <c r="C144" s="28"/>
      <c r="D144" s="28"/>
      <c r="E144" s="29"/>
      <c r="F144" s="29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</row>
    <row r="145">
      <c r="B145" s="28"/>
      <c r="C145" s="28"/>
      <c r="D145" s="28"/>
      <c r="E145" s="29"/>
      <c r="F145" s="29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</row>
    <row r="146">
      <c r="B146" s="28"/>
      <c r="C146" s="28"/>
      <c r="D146" s="28"/>
      <c r="E146" s="29"/>
      <c r="F146" s="29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</row>
    <row r="147">
      <c r="B147" s="28"/>
      <c r="C147" s="28"/>
      <c r="D147" s="28"/>
      <c r="E147" s="29"/>
      <c r="F147" s="29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</row>
    <row r="148">
      <c r="B148" s="28"/>
      <c r="C148" s="28"/>
      <c r="D148" s="28"/>
      <c r="E148" s="29"/>
      <c r="F148" s="29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</row>
    <row r="149">
      <c r="B149" s="28"/>
      <c r="C149" s="28"/>
      <c r="D149" s="28"/>
      <c r="E149" s="29"/>
      <c r="F149" s="29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</row>
    <row r="150">
      <c r="B150" s="28"/>
      <c r="C150" s="28"/>
      <c r="D150" s="28"/>
      <c r="E150" s="29"/>
      <c r="F150" s="29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</row>
    <row r="151">
      <c r="B151" s="28"/>
      <c r="C151" s="28"/>
      <c r="D151" s="28"/>
      <c r="E151" s="29"/>
      <c r="F151" s="29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</row>
    <row r="152">
      <c r="B152" s="28"/>
      <c r="C152" s="28"/>
      <c r="D152" s="28"/>
      <c r="E152" s="29"/>
      <c r="F152" s="29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</row>
    <row r="153">
      <c r="B153" s="28"/>
      <c r="C153" s="28"/>
      <c r="D153" s="28"/>
      <c r="E153" s="29"/>
      <c r="F153" s="29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</row>
    <row r="154">
      <c r="B154" s="28"/>
      <c r="C154" s="28"/>
      <c r="D154" s="28"/>
      <c r="E154" s="29"/>
      <c r="F154" s="29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</row>
    <row r="155">
      <c r="B155" s="28"/>
      <c r="C155" s="28"/>
      <c r="D155" s="28"/>
      <c r="E155" s="29"/>
      <c r="F155" s="29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</row>
    <row r="156">
      <c r="B156" s="28"/>
      <c r="C156" s="28"/>
      <c r="D156" s="28"/>
      <c r="E156" s="29"/>
      <c r="F156" s="29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</row>
    <row r="157">
      <c r="B157" s="28"/>
      <c r="C157" s="28"/>
      <c r="D157" s="28"/>
      <c r="E157" s="29"/>
      <c r="F157" s="29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</row>
    <row r="158">
      <c r="B158" s="28"/>
      <c r="C158" s="28"/>
      <c r="D158" s="28"/>
      <c r="E158" s="29"/>
      <c r="F158" s="29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</row>
    <row r="159">
      <c r="B159" s="28"/>
      <c r="C159" s="28"/>
      <c r="D159" s="28"/>
      <c r="E159" s="29"/>
      <c r="F159" s="29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</row>
    <row r="160">
      <c r="B160" s="28"/>
      <c r="C160" s="28"/>
      <c r="D160" s="28"/>
      <c r="E160" s="29"/>
      <c r="F160" s="29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</row>
    <row r="161">
      <c r="B161" s="28"/>
      <c r="C161" s="28"/>
      <c r="D161" s="28"/>
      <c r="E161" s="29"/>
      <c r="F161" s="29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</row>
    <row r="162">
      <c r="B162" s="28"/>
      <c r="C162" s="28"/>
      <c r="D162" s="28"/>
      <c r="E162" s="29"/>
      <c r="F162" s="29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</row>
    <row r="163">
      <c r="B163" s="28"/>
      <c r="C163" s="28"/>
      <c r="D163" s="28"/>
      <c r="E163" s="29"/>
      <c r="F163" s="29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</row>
    <row r="164">
      <c r="B164" s="28"/>
      <c r="C164" s="28"/>
      <c r="D164" s="28"/>
      <c r="E164" s="29"/>
      <c r="F164" s="29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</row>
    <row r="165">
      <c r="B165" s="28"/>
      <c r="C165" s="28"/>
      <c r="D165" s="28"/>
      <c r="E165" s="29"/>
      <c r="F165" s="29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</row>
    <row r="166">
      <c r="B166" s="28"/>
      <c r="C166" s="28"/>
      <c r="D166" s="28"/>
      <c r="E166" s="29"/>
      <c r="F166" s="29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</row>
    <row r="167">
      <c r="B167" s="28"/>
      <c r="C167" s="28"/>
      <c r="D167" s="28"/>
      <c r="E167" s="29"/>
      <c r="F167" s="29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</row>
    <row r="168">
      <c r="B168" s="28"/>
      <c r="C168" s="28"/>
      <c r="D168" s="28"/>
      <c r="E168" s="29"/>
      <c r="F168" s="29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</row>
    <row r="169">
      <c r="B169" s="28"/>
      <c r="C169" s="28"/>
      <c r="D169" s="28"/>
      <c r="E169" s="29"/>
      <c r="F169" s="29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</row>
    <row r="170">
      <c r="B170" s="28"/>
      <c r="C170" s="28"/>
      <c r="D170" s="28"/>
      <c r="E170" s="29"/>
      <c r="F170" s="29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</row>
    <row r="171">
      <c r="B171" s="28"/>
      <c r="C171" s="28"/>
      <c r="D171" s="28"/>
      <c r="E171" s="29"/>
      <c r="F171" s="29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</row>
    <row r="172">
      <c r="B172" s="28"/>
      <c r="C172" s="28"/>
      <c r="D172" s="28"/>
      <c r="E172" s="29"/>
      <c r="F172" s="29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</row>
    <row r="173">
      <c r="B173" s="28"/>
      <c r="C173" s="28"/>
      <c r="D173" s="28"/>
      <c r="E173" s="29"/>
      <c r="F173" s="29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</row>
    <row r="174">
      <c r="B174" s="28"/>
      <c r="C174" s="28"/>
      <c r="D174" s="28"/>
      <c r="E174" s="29"/>
      <c r="F174" s="29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</row>
    <row r="175">
      <c r="B175" s="28"/>
      <c r="C175" s="28"/>
      <c r="D175" s="28"/>
      <c r="E175" s="29"/>
      <c r="F175" s="29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</row>
    <row r="176">
      <c r="B176" s="28"/>
      <c r="C176" s="28"/>
      <c r="D176" s="28"/>
      <c r="E176" s="29"/>
      <c r="F176" s="29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</row>
    <row r="177">
      <c r="B177" s="28"/>
      <c r="C177" s="28"/>
      <c r="D177" s="28"/>
      <c r="E177" s="29"/>
      <c r="F177" s="29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</row>
    <row r="178">
      <c r="B178" s="28"/>
      <c r="C178" s="28"/>
      <c r="D178" s="28"/>
      <c r="E178" s="29"/>
      <c r="F178" s="29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</row>
    <row r="179">
      <c r="B179" s="28"/>
      <c r="C179" s="28"/>
      <c r="D179" s="28"/>
      <c r="E179" s="29"/>
      <c r="F179" s="29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</row>
    <row r="180">
      <c r="B180" s="28"/>
      <c r="C180" s="28"/>
      <c r="D180" s="28"/>
      <c r="E180" s="29"/>
      <c r="F180" s="29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</row>
    <row r="181">
      <c r="B181" s="28"/>
      <c r="C181" s="28"/>
      <c r="D181" s="28"/>
      <c r="E181" s="29"/>
      <c r="F181" s="29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</row>
    <row r="182">
      <c r="B182" s="28"/>
      <c r="C182" s="28"/>
      <c r="D182" s="28"/>
      <c r="E182" s="29"/>
      <c r="F182" s="29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</row>
    <row r="183">
      <c r="B183" s="28"/>
      <c r="C183" s="28"/>
      <c r="D183" s="28"/>
      <c r="E183" s="29"/>
      <c r="F183" s="29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</row>
    <row r="184">
      <c r="B184" s="28"/>
      <c r="C184" s="28"/>
      <c r="D184" s="28"/>
      <c r="E184" s="29"/>
      <c r="F184" s="29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</row>
    <row r="185">
      <c r="B185" s="28"/>
      <c r="C185" s="28"/>
      <c r="D185" s="28"/>
      <c r="E185" s="29"/>
      <c r="F185" s="29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</row>
    <row r="186">
      <c r="B186" s="28"/>
      <c r="C186" s="28"/>
      <c r="D186" s="28"/>
      <c r="E186" s="29"/>
      <c r="F186" s="29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</row>
    <row r="187">
      <c r="B187" s="28"/>
      <c r="C187" s="28"/>
      <c r="D187" s="28"/>
      <c r="E187" s="29"/>
      <c r="F187" s="29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</row>
    <row r="188">
      <c r="B188" s="28"/>
      <c r="C188" s="28"/>
      <c r="D188" s="28"/>
      <c r="E188" s="29"/>
      <c r="F188" s="29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</row>
    <row r="189">
      <c r="B189" s="28"/>
      <c r="C189" s="28"/>
      <c r="D189" s="28"/>
      <c r="E189" s="29"/>
      <c r="F189" s="29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</row>
    <row r="190">
      <c r="B190" s="28"/>
      <c r="C190" s="28"/>
      <c r="D190" s="28"/>
      <c r="E190" s="29"/>
      <c r="F190" s="29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</row>
    <row r="191">
      <c r="B191" s="28"/>
      <c r="C191" s="28"/>
      <c r="D191" s="28"/>
      <c r="E191" s="29"/>
      <c r="F191" s="29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</row>
    <row r="192">
      <c r="B192" s="28"/>
      <c r="C192" s="28"/>
      <c r="D192" s="28"/>
      <c r="E192" s="29"/>
      <c r="F192" s="29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</row>
    <row r="193">
      <c r="B193" s="28"/>
      <c r="C193" s="28"/>
      <c r="D193" s="28"/>
      <c r="E193" s="29"/>
      <c r="F193" s="29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</row>
    <row r="194">
      <c r="B194" s="28"/>
      <c r="C194" s="28"/>
      <c r="D194" s="28"/>
      <c r="E194" s="29"/>
      <c r="F194" s="29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</row>
    <row r="195">
      <c r="B195" s="28"/>
      <c r="C195" s="28"/>
      <c r="D195" s="28"/>
      <c r="E195" s="29"/>
      <c r="F195" s="29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</row>
    <row r="196">
      <c r="B196" s="28"/>
      <c r="C196" s="28"/>
      <c r="D196" s="28"/>
      <c r="E196" s="29"/>
      <c r="F196" s="29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</row>
    <row r="197">
      <c r="B197" s="28"/>
      <c r="C197" s="28"/>
      <c r="D197" s="28"/>
      <c r="E197" s="29"/>
      <c r="F197" s="29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</row>
    <row r="198">
      <c r="B198" s="28"/>
      <c r="C198" s="28"/>
      <c r="D198" s="28"/>
      <c r="E198" s="29"/>
      <c r="F198" s="29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</row>
    <row r="199">
      <c r="B199" s="28"/>
      <c r="C199" s="28"/>
      <c r="D199" s="28"/>
      <c r="E199" s="29"/>
      <c r="F199" s="29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</row>
    <row r="200">
      <c r="B200" s="28"/>
      <c r="C200" s="28"/>
      <c r="D200" s="28"/>
      <c r="E200" s="29"/>
      <c r="F200" s="29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</row>
    <row r="201">
      <c r="B201" s="28"/>
      <c r="C201" s="28"/>
      <c r="D201" s="28"/>
      <c r="E201" s="29"/>
      <c r="F201" s="29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</row>
    <row r="202">
      <c r="B202" s="28"/>
      <c r="C202" s="28"/>
      <c r="D202" s="28"/>
      <c r="E202" s="29"/>
      <c r="F202" s="29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</row>
    <row r="203">
      <c r="B203" s="28"/>
      <c r="C203" s="28"/>
      <c r="D203" s="28"/>
      <c r="E203" s="29"/>
      <c r="F203" s="29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</row>
    <row r="204">
      <c r="B204" s="28"/>
      <c r="C204" s="28"/>
      <c r="D204" s="28"/>
      <c r="E204" s="29"/>
      <c r="F204" s="29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</row>
    <row r="205">
      <c r="B205" s="28"/>
      <c r="C205" s="28"/>
      <c r="D205" s="28"/>
      <c r="E205" s="29"/>
      <c r="F205" s="29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</row>
    <row r="206">
      <c r="B206" s="28"/>
      <c r="C206" s="28"/>
      <c r="D206" s="28"/>
      <c r="E206" s="29"/>
      <c r="F206" s="29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</row>
    <row r="207">
      <c r="B207" s="28"/>
      <c r="C207" s="28"/>
      <c r="D207" s="28"/>
      <c r="E207" s="29"/>
      <c r="F207" s="29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</row>
    <row r="208">
      <c r="B208" s="28"/>
      <c r="C208" s="28"/>
      <c r="D208" s="28"/>
      <c r="E208" s="29"/>
      <c r="F208" s="29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</row>
    <row r="209">
      <c r="B209" s="28"/>
      <c r="C209" s="28"/>
      <c r="D209" s="28"/>
      <c r="E209" s="29"/>
      <c r="F209" s="29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</row>
    <row r="210">
      <c r="B210" s="28"/>
      <c r="C210" s="28"/>
      <c r="D210" s="28"/>
      <c r="E210" s="29"/>
      <c r="F210" s="29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</row>
    <row r="211">
      <c r="B211" s="28"/>
      <c r="C211" s="28"/>
      <c r="D211" s="28"/>
      <c r="E211" s="29"/>
      <c r="F211" s="29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</row>
    <row r="212">
      <c r="B212" s="28"/>
      <c r="C212" s="28"/>
      <c r="D212" s="28"/>
      <c r="E212" s="29"/>
      <c r="F212" s="29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</row>
    <row r="213">
      <c r="B213" s="28"/>
      <c r="C213" s="28"/>
      <c r="D213" s="28"/>
      <c r="E213" s="29"/>
      <c r="F213" s="29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</row>
    <row r="214">
      <c r="B214" s="28"/>
      <c r="C214" s="28"/>
      <c r="D214" s="28"/>
      <c r="E214" s="29"/>
      <c r="F214" s="29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</row>
    <row r="215">
      <c r="B215" s="28"/>
      <c r="C215" s="28"/>
      <c r="D215" s="28"/>
      <c r="E215" s="29"/>
      <c r="F215" s="29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</row>
    <row r="216">
      <c r="B216" s="28"/>
      <c r="C216" s="28"/>
      <c r="D216" s="28"/>
      <c r="E216" s="29"/>
      <c r="F216" s="29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</row>
    <row r="217">
      <c r="B217" s="28"/>
      <c r="C217" s="28"/>
      <c r="D217" s="28"/>
      <c r="E217" s="29"/>
      <c r="F217" s="29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</row>
    <row r="218">
      <c r="B218" s="28"/>
      <c r="C218" s="28"/>
      <c r="D218" s="28"/>
      <c r="E218" s="29"/>
      <c r="F218" s="29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</row>
    <row r="219">
      <c r="B219" s="28"/>
      <c r="C219" s="28"/>
      <c r="D219" s="28"/>
      <c r="E219" s="29"/>
      <c r="F219" s="29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</row>
    <row r="220">
      <c r="B220" s="28"/>
      <c r="C220" s="28"/>
      <c r="D220" s="28"/>
      <c r="E220" s="29"/>
      <c r="F220" s="29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</row>
    <row r="221">
      <c r="B221" s="28"/>
      <c r="C221" s="28"/>
      <c r="D221" s="28"/>
      <c r="E221" s="29"/>
      <c r="F221" s="29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</row>
    <row r="222">
      <c r="B222" s="28"/>
      <c r="C222" s="28"/>
      <c r="D222" s="28"/>
      <c r="E222" s="29"/>
      <c r="F222" s="29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</row>
    <row r="223">
      <c r="B223" s="28"/>
      <c r="C223" s="28"/>
      <c r="D223" s="28"/>
      <c r="E223" s="29"/>
      <c r="F223" s="29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</row>
    <row r="224">
      <c r="B224" s="28"/>
      <c r="C224" s="28"/>
      <c r="D224" s="28"/>
      <c r="E224" s="29"/>
      <c r="F224" s="29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</row>
    <row r="225">
      <c r="B225" s="28"/>
      <c r="C225" s="28"/>
      <c r="D225" s="28"/>
      <c r="E225" s="29"/>
      <c r="F225" s="29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</row>
    <row r="226">
      <c r="B226" s="28"/>
      <c r="C226" s="28"/>
      <c r="D226" s="28"/>
      <c r="E226" s="29"/>
      <c r="F226" s="29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</row>
    <row r="227">
      <c r="B227" s="28"/>
      <c r="C227" s="28"/>
      <c r="D227" s="28"/>
      <c r="E227" s="29"/>
      <c r="F227" s="29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</row>
    <row r="228">
      <c r="B228" s="28"/>
      <c r="C228" s="28"/>
      <c r="D228" s="28"/>
      <c r="E228" s="29"/>
      <c r="F228" s="29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</row>
    <row r="229">
      <c r="B229" s="28"/>
      <c r="C229" s="28"/>
      <c r="D229" s="28"/>
      <c r="E229" s="29"/>
      <c r="F229" s="29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</row>
    <row r="230">
      <c r="B230" s="28"/>
      <c r="C230" s="28"/>
      <c r="D230" s="28"/>
      <c r="E230" s="29"/>
      <c r="F230" s="29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</row>
    <row r="231">
      <c r="B231" s="28"/>
      <c r="C231" s="28"/>
      <c r="D231" s="28"/>
      <c r="E231" s="29"/>
      <c r="F231" s="29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</row>
    <row r="232">
      <c r="B232" s="28"/>
      <c r="C232" s="28"/>
      <c r="D232" s="28"/>
      <c r="E232" s="29"/>
      <c r="F232" s="29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</row>
    <row r="233">
      <c r="B233" s="28"/>
      <c r="C233" s="28"/>
      <c r="D233" s="28"/>
      <c r="E233" s="29"/>
      <c r="F233" s="29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</row>
    <row r="234">
      <c r="B234" s="28"/>
      <c r="C234" s="28"/>
      <c r="D234" s="28"/>
      <c r="E234" s="29"/>
      <c r="F234" s="29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</row>
    <row r="235">
      <c r="B235" s="28"/>
      <c r="C235" s="28"/>
      <c r="D235" s="28"/>
      <c r="E235" s="29"/>
      <c r="F235" s="29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</row>
    <row r="236">
      <c r="B236" s="28"/>
      <c r="C236" s="28"/>
      <c r="D236" s="28"/>
      <c r="E236" s="29"/>
      <c r="F236" s="29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</row>
    <row r="237">
      <c r="B237" s="28"/>
      <c r="C237" s="28"/>
      <c r="D237" s="28"/>
      <c r="E237" s="29"/>
      <c r="F237" s="29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</row>
    <row r="238">
      <c r="B238" s="28"/>
      <c r="C238" s="28"/>
      <c r="D238" s="28"/>
      <c r="E238" s="29"/>
      <c r="F238" s="29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</row>
    <row r="239">
      <c r="B239" s="28"/>
      <c r="C239" s="28"/>
      <c r="D239" s="28"/>
      <c r="E239" s="29"/>
      <c r="F239" s="29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</row>
    <row r="240">
      <c r="B240" s="28"/>
      <c r="C240" s="28"/>
      <c r="D240" s="28"/>
      <c r="E240" s="29"/>
      <c r="F240" s="29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</row>
    <row r="241">
      <c r="B241" s="28"/>
      <c r="C241" s="28"/>
      <c r="D241" s="28"/>
      <c r="E241" s="29"/>
      <c r="F241" s="29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</row>
    <row r="242">
      <c r="B242" s="28"/>
      <c r="C242" s="28"/>
      <c r="D242" s="28"/>
      <c r="E242" s="29"/>
      <c r="F242" s="29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</row>
    <row r="243">
      <c r="B243" s="28"/>
      <c r="C243" s="28"/>
      <c r="D243" s="28"/>
      <c r="E243" s="29"/>
      <c r="F243" s="29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</row>
    <row r="244">
      <c r="B244" s="28"/>
      <c r="C244" s="28"/>
      <c r="D244" s="28"/>
      <c r="E244" s="29"/>
      <c r="F244" s="29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</row>
    <row r="245">
      <c r="B245" s="28"/>
      <c r="C245" s="28"/>
      <c r="D245" s="28"/>
      <c r="E245" s="29"/>
      <c r="F245" s="29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>
      <c r="B246" s="28"/>
      <c r="C246" s="28"/>
      <c r="D246" s="28"/>
      <c r="E246" s="29"/>
      <c r="F246" s="29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>
      <c r="B247" s="28"/>
      <c r="C247" s="28"/>
      <c r="D247" s="28"/>
      <c r="E247" s="29"/>
      <c r="F247" s="29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>
      <c r="B248" s="28"/>
      <c r="C248" s="28"/>
      <c r="D248" s="28"/>
      <c r="E248" s="29"/>
      <c r="F248" s="29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>
      <c r="B249" s="28"/>
      <c r="C249" s="28"/>
      <c r="D249" s="28"/>
      <c r="E249" s="29"/>
      <c r="F249" s="29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</row>
    <row r="250">
      <c r="B250" s="28"/>
      <c r="C250" s="28"/>
      <c r="D250" s="28"/>
      <c r="E250" s="29"/>
      <c r="F250" s="29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</row>
    <row r="251">
      <c r="B251" s="28"/>
      <c r="C251" s="28"/>
      <c r="D251" s="28"/>
      <c r="E251" s="29"/>
      <c r="F251" s="29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>
      <c r="B252" s="28"/>
      <c r="C252" s="28"/>
      <c r="D252" s="28"/>
      <c r="E252" s="29"/>
      <c r="F252" s="29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>
      <c r="B253" s="28"/>
      <c r="C253" s="28"/>
      <c r="D253" s="28"/>
      <c r="E253" s="29"/>
      <c r="F253" s="29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>
      <c r="B254" s="28"/>
      <c r="C254" s="28"/>
      <c r="D254" s="28"/>
      <c r="E254" s="29"/>
      <c r="F254" s="29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</row>
    <row r="255">
      <c r="B255" s="28"/>
      <c r="C255" s="28"/>
      <c r="D255" s="28"/>
      <c r="E255" s="29"/>
      <c r="F255" s="29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>
      <c r="B256" s="28"/>
      <c r="C256" s="28"/>
      <c r="D256" s="28"/>
      <c r="E256" s="29"/>
      <c r="F256" s="29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>
      <c r="B257" s="28"/>
      <c r="C257" s="28"/>
      <c r="D257" s="28"/>
      <c r="E257" s="29"/>
      <c r="F257" s="29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>
      <c r="B258" s="28"/>
      <c r="C258" s="28"/>
      <c r="D258" s="28"/>
      <c r="E258" s="29"/>
      <c r="F258" s="29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>
      <c r="B259" s="28"/>
      <c r="C259" s="28"/>
      <c r="D259" s="28"/>
      <c r="E259" s="29"/>
      <c r="F259" s="29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>
      <c r="B260" s="28"/>
      <c r="C260" s="28"/>
      <c r="D260" s="28"/>
      <c r="E260" s="29"/>
      <c r="F260" s="29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>
      <c r="B261" s="28"/>
      <c r="C261" s="28"/>
      <c r="D261" s="28"/>
      <c r="E261" s="29"/>
      <c r="F261" s="29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>
      <c r="B262" s="28"/>
      <c r="C262" s="28"/>
      <c r="D262" s="28"/>
      <c r="E262" s="29"/>
      <c r="F262" s="29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>
      <c r="B263" s="28"/>
      <c r="C263" s="28"/>
      <c r="D263" s="28"/>
      <c r="E263" s="29"/>
      <c r="F263" s="29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>
      <c r="B264" s="28"/>
      <c r="C264" s="28"/>
      <c r="D264" s="28"/>
      <c r="E264" s="29"/>
      <c r="F264" s="29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>
      <c r="B265" s="28"/>
      <c r="C265" s="28"/>
      <c r="D265" s="28"/>
      <c r="E265" s="29"/>
      <c r="F265" s="29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</row>
    <row r="266">
      <c r="B266" s="28"/>
      <c r="C266" s="28"/>
      <c r="D266" s="28"/>
      <c r="E266" s="29"/>
      <c r="F266" s="29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>
      <c r="B267" s="28"/>
      <c r="C267" s="28"/>
      <c r="D267" s="28"/>
      <c r="E267" s="29"/>
      <c r="F267" s="29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</row>
    <row r="268">
      <c r="B268" s="28"/>
      <c r="C268" s="28"/>
      <c r="D268" s="28"/>
      <c r="E268" s="29"/>
      <c r="F268" s="29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</row>
    <row r="269">
      <c r="B269" s="28"/>
      <c r="C269" s="28"/>
      <c r="D269" s="28"/>
      <c r="E269" s="29"/>
      <c r="F269" s="29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</row>
    <row r="270">
      <c r="B270" s="28"/>
      <c r="C270" s="28"/>
      <c r="D270" s="28"/>
      <c r="E270" s="29"/>
      <c r="F270" s="29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>
      <c r="B271" s="28"/>
      <c r="C271" s="28"/>
      <c r="D271" s="28"/>
      <c r="E271" s="29"/>
      <c r="F271" s="29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</row>
    <row r="272">
      <c r="B272" s="28"/>
      <c r="C272" s="28"/>
      <c r="D272" s="28"/>
      <c r="E272" s="29"/>
      <c r="F272" s="29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>
      <c r="B273" s="28"/>
      <c r="C273" s="28"/>
      <c r="D273" s="28"/>
      <c r="E273" s="29"/>
      <c r="F273" s="29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</row>
    <row r="274">
      <c r="B274" s="28"/>
      <c r="C274" s="28"/>
      <c r="D274" s="28"/>
      <c r="E274" s="29"/>
      <c r="F274" s="29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</row>
    <row r="275">
      <c r="B275" s="28"/>
      <c r="C275" s="28"/>
      <c r="D275" s="28"/>
      <c r="E275" s="29"/>
      <c r="F275" s="29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>
      <c r="B276" s="28"/>
      <c r="C276" s="28"/>
      <c r="D276" s="28"/>
      <c r="E276" s="29"/>
      <c r="F276" s="29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>
      <c r="B277" s="28"/>
      <c r="C277" s="28"/>
      <c r="D277" s="28"/>
      <c r="E277" s="29"/>
      <c r="F277" s="29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>
      <c r="B278" s="28"/>
      <c r="C278" s="28"/>
      <c r="D278" s="28"/>
      <c r="E278" s="29"/>
      <c r="F278" s="29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>
      <c r="B279" s="28"/>
      <c r="C279" s="28"/>
      <c r="D279" s="28"/>
      <c r="E279" s="29"/>
      <c r="F279" s="29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</row>
    <row r="280">
      <c r="B280" s="28"/>
      <c r="C280" s="28"/>
      <c r="D280" s="28"/>
      <c r="E280" s="29"/>
      <c r="F280" s="29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>
      <c r="B281" s="28"/>
      <c r="C281" s="28"/>
      <c r="D281" s="28"/>
      <c r="E281" s="29"/>
      <c r="F281" s="29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</row>
    <row r="282">
      <c r="B282" s="28"/>
      <c r="C282" s="28"/>
      <c r="D282" s="28"/>
      <c r="E282" s="29"/>
      <c r="F282" s="29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</row>
    <row r="283">
      <c r="B283" s="28"/>
      <c r="C283" s="28"/>
      <c r="D283" s="28"/>
      <c r="E283" s="29"/>
      <c r="F283" s="29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</row>
    <row r="284">
      <c r="B284" s="28"/>
      <c r="C284" s="28"/>
      <c r="D284" s="28"/>
      <c r="E284" s="29"/>
      <c r="F284" s="29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</row>
    <row r="285">
      <c r="B285" s="28"/>
      <c r="C285" s="28"/>
      <c r="D285" s="28"/>
      <c r="E285" s="29"/>
      <c r="F285" s="29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</row>
    <row r="286">
      <c r="B286" s="28"/>
      <c r="C286" s="28"/>
      <c r="D286" s="28"/>
      <c r="E286" s="29"/>
      <c r="F286" s="29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>
      <c r="B287" s="28"/>
      <c r="C287" s="28"/>
      <c r="D287" s="28"/>
      <c r="E287" s="29"/>
      <c r="F287" s="29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>
      <c r="B288" s="28"/>
      <c r="C288" s="28"/>
      <c r="D288" s="28"/>
      <c r="E288" s="29"/>
      <c r="F288" s="29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</row>
    <row r="289">
      <c r="B289" s="28"/>
      <c r="C289" s="28"/>
      <c r="D289" s="28"/>
      <c r="E289" s="29"/>
      <c r="F289" s="29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</row>
    <row r="290">
      <c r="B290" s="28"/>
      <c r="C290" s="28"/>
      <c r="D290" s="28"/>
      <c r="E290" s="29"/>
      <c r="F290" s="29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</row>
    <row r="291">
      <c r="B291" s="28"/>
      <c r="C291" s="28"/>
      <c r="D291" s="28"/>
      <c r="E291" s="29"/>
      <c r="F291" s="29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</row>
    <row r="292">
      <c r="B292" s="28"/>
      <c r="C292" s="28"/>
      <c r="D292" s="28"/>
      <c r="E292" s="29"/>
      <c r="F292" s="29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</row>
    <row r="293">
      <c r="B293" s="28"/>
      <c r="C293" s="28"/>
      <c r="D293" s="28"/>
      <c r="E293" s="29"/>
      <c r="F293" s="29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</row>
    <row r="294">
      <c r="B294" s="28"/>
      <c r="C294" s="28"/>
      <c r="D294" s="28"/>
      <c r="E294" s="29"/>
      <c r="F294" s="29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</row>
    <row r="295">
      <c r="B295" s="28"/>
      <c r="C295" s="28"/>
      <c r="D295" s="28"/>
      <c r="E295" s="29"/>
      <c r="F295" s="29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</row>
    <row r="296">
      <c r="B296" s="28"/>
      <c r="C296" s="28"/>
      <c r="D296" s="28"/>
      <c r="E296" s="29"/>
      <c r="F296" s="29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</row>
    <row r="297">
      <c r="B297" s="28"/>
      <c r="C297" s="28"/>
      <c r="D297" s="28"/>
      <c r="E297" s="29"/>
      <c r="F297" s="29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</row>
    <row r="298">
      <c r="B298" s="28"/>
      <c r="C298" s="28"/>
      <c r="D298" s="28"/>
      <c r="E298" s="29"/>
      <c r="F298" s="29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</row>
    <row r="299">
      <c r="B299" s="28"/>
      <c r="C299" s="28"/>
      <c r="D299" s="28"/>
      <c r="E299" s="29"/>
      <c r="F299" s="29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</row>
    <row r="300">
      <c r="B300" s="28"/>
      <c r="C300" s="28"/>
      <c r="D300" s="28"/>
      <c r="E300" s="29"/>
      <c r="F300" s="29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</row>
    <row r="301">
      <c r="B301" s="28"/>
      <c r="C301" s="28"/>
      <c r="D301" s="28"/>
      <c r="E301" s="29"/>
      <c r="F301" s="29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</row>
    <row r="302">
      <c r="B302" s="28"/>
      <c r="C302" s="28"/>
      <c r="D302" s="28"/>
      <c r="E302" s="29"/>
      <c r="F302" s="29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</row>
    <row r="303">
      <c r="B303" s="28"/>
      <c r="C303" s="28"/>
      <c r="D303" s="28"/>
      <c r="E303" s="29"/>
      <c r="F303" s="29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</row>
    <row r="304">
      <c r="B304" s="28"/>
      <c r="C304" s="28"/>
      <c r="D304" s="28"/>
      <c r="E304" s="29"/>
      <c r="F304" s="29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</row>
    <row r="305">
      <c r="B305" s="28"/>
      <c r="C305" s="28"/>
      <c r="D305" s="28"/>
      <c r="E305" s="29"/>
      <c r="F305" s="29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</row>
    <row r="306">
      <c r="B306" s="28"/>
      <c r="C306" s="28"/>
      <c r="D306" s="28"/>
      <c r="E306" s="29"/>
      <c r="F306" s="29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</row>
    <row r="307">
      <c r="B307" s="28"/>
      <c r="C307" s="28"/>
      <c r="D307" s="28"/>
      <c r="E307" s="29"/>
      <c r="F307" s="29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</row>
    <row r="308">
      <c r="B308" s="28"/>
      <c r="C308" s="28"/>
      <c r="D308" s="28"/>
      <c r="E308" s="29"/>
      <c r="F308" s="29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</row>
    <row r="309">
      <c r="B309" s="28"/>
      <c r="C309" s="28"/>
      <c r="D309" s="28"/>
      <c r="E309" s="29"/>
      <c r="F309" s="29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</row>
    <row r="310">
      <c r="B310" s="28"/>
      <c r="C310" s="28"/>
      <c r="D310" s="28"/>
      <c r="E310" s="29"/>
      <c r="F310" s="29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</row>
    <row r="311">
      <c r="B311" s="28"/>
      <c r="C311" s="28"/>
      <c r="D311" s="28"/>
      <c r="E311" s="29"/>
      <c r="F311" s="29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</row>
    <row r="312">
      <c r="B312" s="28"/>
      <c r="C312" s="28"/>
      <c r="D312" s="28"/>
      <c r="E312" s="29"/>
      <c r="F312" s="29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</row>
    <row r="313">
      <c r="B313" s="28"/>
      <c r="C313" s="28"/>
      <c r="D313" s="28"/>
      <c r="E313" s="29"/>
      <c r="F313" s="29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</row>
    <row r="314">
      <c r="B314" s="28"/>
      <c r="C314" s="28"/>
      <c r="D314" s="28"/>
      <c r="E314" s="29"/>
      <c r="F314" s="29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</row>
    <row r="315">
      <c r="B315" s="28"/>
      <c r="C315" s="28"/>
      <c r="D315" s="28"/>
      <c r="E315" s="29"/>
      <c r="F315" s="29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</row>
    <row r="316">
      <c r="B316" s="28"/>
      <c r="C316" s="28"/>
      <c r="D316" s="28"/>
      <c r="E316" s="29"/>
      <c r="F316" s="29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</row>
    <row r="317">
      <c r="B317" s="28"/>
      <c r="C317" s="28"/>
      <c r="D317" s="28"/>
      <c r="E317" s="29"/>
      <c r="F317" s="29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</row>
    <row r="318">
      <c r="B318" s="28"/>
      <c r="C318" s="28"/>
      <c r="D318" s="28"/>
      <c r="E318" s="29"/>
      <c r="F318" s="29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</row>
    <row r="319">
      <c r="B319" s="28"/>
      <c r="C319" s="28"/>
      <c r="D319" s="28"/>
      <c r="E319" s="29"/>
      <c r="F319" s="29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</row>
    <row r="320">
      <c r="B320" s="28"/>
      <c r="C320" s="28"/>
      <c r="D320" s="28"/>
      <c r="E320" s="29"/>
      <c r="F320" s="29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</row>
    <row r="321">
      <c r="B321" s="28"/>
      <c r="C321" s="28"/>
      <c r="D321" s="28"/>
      <c r="E321" s="29"/>
      <c r="F321" s="29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</row>
    <row r="322">
      <c r="B322" s="28"/>
      <c r="C322" s="28"/>
      <c r="D322" s="28"/>
      <c r="E322" s="29"/>
      <c r="F322" s="29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</row>
    <row r="323">
      <c r="B323" s="28"/>
      <c r="C323" s="28"/>
      <c r="D323" s="28"/>
      <c r="E323" s="29"/>
      <c r="F323" s="29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</row>
    <row r="324">
      <c r="B324" s="28"/>
      <c r="C324" s="28"/>
      <c r="D324" s="28"/>
      <c r="E324" s="29"/>
      <c r="F324" s="29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</row>
    <row r="325">
      <c r="B325" s="28"/>
      <c r="C325" s="28"/>
      <c r="D325" s="28"/>
      <c r="E325" s="29"/>
      <c r="F325" s="29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</row>
    <row r="326">
      <c r="B326" s="28"/>
      <c r="C326" s="28"/>
      <c r="D326" s="28"/>
      <c r="E326" s="29"/>
      <c r="F326" s="29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</row>
    <row r="327">
      <c r="B327" s="28"/>
      <c r="C327" s="28"/>
      <c r="D327" s="28"/>
      <c r="E327" s="29"/>
      <c r="F327" s="29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</row>
    <row r="328">
      <c r="B328" s="28"/>
      <c r="C328" s="28"/>
      <c r="D328" s="28"/>
      <c r="E328" s="29"/>
      <c r="F328" s="29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</row>
    <row r="329">
      <c r="B329" s="28"/>
      <c r="C329" s="28"/>
      <c r="D329" s="28"/>
      <c r="E329" s="29"/>
      <c r="F329" s="29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</row>
    <row r="330">
      <c r="B330" s="28"/>
      <c r="C330" s="28"/>
      <c r="D330" s="28"/>
      <c r="E330" s="29"/>
      <c r="F330" s="29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</row>
    <row r="331">
      <c r="B331" s="28"/>
      <c r="C331" s="28"/>
      <c r="D331" s="28"/>
      <c r="E331" s="29"/>
      <c r="F331" s="29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</row>
    <row r="332">
      <c r="B332" s="28"/>
      <c r="C332" s="28"/>
      <c r="D332" s="28"/>
      <c r="E332" s="29"/>
      <c r="F332" s="29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</row>
    <row r="333">
      <c r="B333" s="28"/>
      <c r="C333" s="28"/>
      <c r="D333" s="28"/>
      <c r="E333" s="29"/>
      <c r="F333" s="29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</row>
    <row r="334">
      <c r="B334" s="28"/>
      <c r="C334" s="28"/>
      <c r="D334" s="28"/>
      <c r="E334" s="29"/>
      <c r="F334" s="29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</row>
    <row r="335">
      <c r="B335" s="28"/>
      <c r="C335" s="28"/>
      <c r="D335" s="28"/>
      <c r="E335" s="29"/>
      <c r="F335" s="29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</row>
    <row r="336">
      <c r="B336" s="28"/>
      <c r="C336" s="28"/>
      <c r="D336" s="28"/>
      <c r="E336" s="29"/>
      <c r="F336" s="29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</row>
    <row r="337">
      <c r="B337" s="28"/>
      <c r="C337" s="28"/>
      <c r="D337" s="28"/>
      <c r="E337" s="29"/>
      <c r="F337" s="29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</row>
    <row r="338">
      <c r="B338" s="28"/>
      <c r="C338" s="28"/>
      <c r="D338" s="28"/>
      <c r="E338" s="29"/>
      <c r="F338" s="29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</row>
    <row r="339">
      <c r="B339" s="28"/>
      <c r="C339" s="28"/>
      <c r="D339" s="28"/>
      <c r="E339" s="29"/>
      <c r="F339" s="29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</row>
    <row r="340">
      <c r="B340" s="28"/>
      <c r="C340" s="28"/>
      <c r="D340" s="28"/>
      <c r="E340" s="29"/>
      <c r="F340" s="29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</row>
    <row r="341">
      <c r="B341" s="28"/>
      <c r="C341" s="28"/>
      <c r="D341" s="28"/>
      <c r="E341" s="29"/>
      <c r="F341" s="29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</row>
    <row r="342">
      <c r="B342" s="28"/>
      <c r="C342" s="28"/>
      <c r="D342" s="28"/>
      <c r="E342" s="29"/>
      <c r="F342" s="29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</row>
    <row r="343">
      <c r="B343" s="28"/>
      <c r="C343" s="28"/>
      <c r="D343" s="28"/>
      <c r="E343" s="29"/>
      <c r="F343" s="29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</row>
    <row r="344">
      <c r="B344" s="28"/>
      <c r="C344" s="28"/>
      <c r="D344" s="28"/>
      <c r="E344" s="29"/>
      <c r="F344" s="29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</row>
    <row r="345">
      <c r="B345" s="28"/>
      <c r="C345" s="28"/>
      <c r="D345" s="28"/>
      <c r="E345" s="29"/>
      <c r="F345" s="29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</row>
    <row r="346">
      <c r="B346" s="28"/>
      <c r="C346" s="28"/>
      <c r="D346" s="28"/>
      <c r="E346" s="29"/>
      <c r="F346" s="29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</row>
    <row r="347">
      <c r="B347" s="28"/>
      <c r="C347" s="28"/>
      <c r="D347" s="28"/>
      <c r="E347" s="29"/>
      <c r="F347" s="29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</row>
    <row r="348">
      <c r="B348" s="28"/>
      <c r="C348" s="28"/>
      <c r="D348" s="28"/>
      <c r="E348" s="29"/>
      <c r="F348" s="29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</row>
    <row r="349">
      <c r="B349" s="28"/>
      <c r="C349" s="28"/>
      <c r="D349" s="28"/>
      <c r="E349" s="29"/>
      <c r="F349" s="29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</row>
    <row r="350">
      <c r="B350" s="28"/>
      <c r="C350" s="28"/>
      <c r="D350" s="28"/>
      <c r="E350" s="29"/>
      <c r="F350" s="29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</row>
    <row r="351">
      <c r="B351" s="28"/>
      <c r="C351" s="28"/>
      <c r="D351" s="28"/>
      <c r="E351" s="29"/>
      <c r="F351" s="29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</row>
    <row r="352">
      <c r="B352" s="28"/>
      <c r="C352" s="28"/>
      <c r="D352" s="28"/>
      <c r="E352" s="29"/>
      <c r="F352" s="29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</row>
    <row r="353">
      <c r="B353" s="28"/>
      <c r="C353" s="28"/>
      <c r="D353" s="28"/>
      <c r="E353" s="29"/>
      <c r="F353" s="29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</row>
    <row r="354">
      <c r="B354" s="28"/>
      <c r="C354" s="28"/>
      <c r="D354" s="28"/>
      <c r="E354" s="29"/>
      <c r="F354" s="29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</row>
    <row r="355">
      <c r="B355" s="28"/>
      <c r="C355" s="28"/>
      <c r="D355" s="28"/>
      <c r="E355" s="29"/>
      <c r="F355" s="29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</row>
    <row r="356">
      <c r="B356" s="28"/>
      <c r="C356" s="28"/>
      <c r="D356" s="28"/>
      <c r="E356" s="29"/>
      <c r="F356" s="29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</row>
    <row r="357">
      <c r="B357" s="28"/>
      <c r="C357" s="28"/>
      <c r="D357" s="28"/>
      <c r="E357" s="29"/>
      <c r="F357" s="29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</row>
    <row r="358">
      <c r="B358" s="28"/>
      <c r="C358" s="28"/>
      <c r="D358" s="28"/>
      <c r="E358" s="29"/>
      <c r="F358" s="29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</row>
    <row r="359">
      <c r="B359" s="28"/>
      <c r="C359" s="28"/>
      <c r="D359" s="28"/>
      <c r="E359" s="29"/>
      <c r="F359" s="29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</row>
    <row r="360">
      <c r="B360" s="28"/>
      <c r="C360" s="28"/>
      <c r="D360" s="28"/>
      <c r="E360" s="29"/>
      <c r="F360" s="29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</row>
    <row r="361">
      <c r="B361" s="28"/>
      <c r="C361" s="28"/>
      <c r="D361" s="28"/>
      <c r="E361" s="29"/>
      <c r="F361" s="29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</row>
    <row r="362">
      <c r="B362" s="28"/>
      <c r="C362" s="28"/>
      <c r="D362" s="28"/>
      <c r="E362" s="29"/>
      <c r="F362" s="29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</row>
    <row r="363">
      <c r="B363" s="28"/>
      <c r="C363" s="28"/>
      <c r="D363" s="28"/>
      <c r="E363" s="29"/>
      <c r="F363" s="29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</row>
    <row r="364">
      <c r="B364" s="28"/>
      <c r="C364" s="28"/>
      <c r="D364" s="28"/>
      <c r="E364" s="29"/>
      <c r="F364" s="29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</row>
    <row r="365">
      <c r="B365" s="28"/>
      <c r="C365" s="28"/>
      <c r="D365" s="28"/>
      <c r="E365" s="29"/>
      <c r="F365" s="29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</row>
    <row r="366">
      <c r="B366" s="28"/>
      <c r="C366" s="28"/>
      <c r="D366" s="28"/>
      <c r="E366" s="29"/>
      <c r="F366" s="29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</row>
    <row r="367">
      <c r="B367" s="28"/>
      <c r="C367" s="28"/>
      <c r="D367" s="28"/>
      <c r="E367" s="29"/>
      <c r="F367" s="29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</row>
    <row r="368">
      <c r="B368" s="28"/>
      <c r="C368" s="28"/>
      <c r="D368" s="28"/>
      <c r="E368" s="29"/>
      <c r="F368" s="29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</row>
    <row r="369">
      <c r="B369" s="28"/>
      <c r="C369" s="28"/>
      <c r="D369" s="28"/>
      <c r="E369" s="29"/>
      <c r="F369" s="29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</row>
    <row r="370">
      <c r="B370" s="28"/>
      <c r="C370" s="28"/>
      <c r="D370" s="28"/>
      <c r="E370" s="29"/>
      <c r="F370" s="29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</row>
    <row r="371">
      <c r="B371" s="28"/>
      <c r="C371" s="28"/>
      <c r="D371" s="28"/>
      <c r="E371" s="29"/>
      <c r="F371" s="29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</row>
    <row r="372">
      <c r="B372" s="28"/>
      <c r="C372" s="28"/>
      <c r="D372" s="28"/>
      <c r="E372" s="29"/>
      <c r="F372" s="29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</row>
    <row r="373">
      <c r="B373" s="28"/>
      <c r="C373" s="28"/>
      <c r="D373" s="28"/>
      <c r="E373" s="29"/>
      <c r="F373" s="29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</row>
    <row r="374">
      <c r="B374" s="28"/>
      <c r="C374" s="28"/>
      <c r="D374" s="28"/>
      <c r="E374" s="29"/>
      <c r="F374" s="29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</row>
    <row r="375">
      <c r="B375" s="28"/>
      <c r="C375" s="28"/>
      <c r="D375" s="28"/>
      <c r="E375" s="29"/>
      <c r="F375" s="29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</row>
    <row r="376">
      <c r="B376" s="28"/>
      <c r="C376" s="28"/>
      <c r="D376" s="28"/>
      <c r="E376" s="29"/>
      <c r="F376" s="29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</row>
    <row r="377">
      <c r="B377" s="28"/>
      <c r="C377" s="28"/>
      <c r="D377" s="28"/>
      <c r="E377" s="29"/>
      <c r="F377" s="29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</row>
    <row r="378">
      <c r="B378" s="28"/>
      <c r="C378" s="28"/>
      <c r="D378" s="28"/>
      <c r="E378" s="29"/>
      <c r="F378" s="29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</row>
    <row r="379">
      <c r="B379" s="28"/>
      <c r="C379" s="28"/>
      <c r="D379" s="28"/>
      <c r="E379" s="29"/>
      <c r="F379" s="29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</row>
    <row r="380">
      <c r="B380" s="28"/>
      <c r="C380" s="28"/>
      <c r="D380" s="28"/>
      <c r="E380" s="29"/>
      <c r="F380" s="29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</row>
    <row r="381">
      <c r="B381" s="28"/>
      <c r="C381" s="28"/>
      <c r="D381" s="28"/>
      <c r="E381" s="29"/>
      <c r="F381" s="29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</row>
    <row r="382">
      <c r="B382" s="28"/>
      <c r="C382" s="28"/>
      <c r="D382" s="28"/>
      <c r="E382" s="29"/>
      <c r="F382" s="29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</row>
    <row r="383">
      <c r="B383" s="28"/>
      <c r="C383" s="28"/>
      <c r="D383" s="28"/>
      <c r="E383" s="29"/>
      <c r="F383" s="29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</row>
    <row r="384">
      <c r="B384" s="28"/>
      <c r="C384" s="28"/>
      <c r="D384" s="28"/>
      <c r="E384" s="29"/>
      <c r="F384" s="29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</row>
    <row r="385">
      <c r="B385" s="28"/>
      <c r="C385" s="28"/>
      <c r="D385" s="28"/>
      <c r="E385" s="29"/>
      <c r="F385" s="29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</row>
    <row r="386">
      <c r="B386" s="28"/>
      <c r="C386" s="28"/>
      <c r="D386" s="28"/>
      <c r="E386" s="29"/>
      <c r="F386" s="29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</row>
    <row r="387">
      <c r="B387" s="28"/>
      <c r="C387" s="28"/>
      <c r="D387" s="28"/>
      <c r="E387" s="29"/>
      <c r="F387" s="29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</row>
    <row r="388">
      <c r="B388" s="28"/>
      <c r="C388" s="28"/>
      <c r="D388" s="28"/>
      <c r="E388" s="29"/>
      <c r="F388" s="29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</row>
    <row r="389">
      <c r="B389" s="28"/>
      <c r="C389" s="28"/>
      <c r="D389" s="28"/>
      <c r="E389" s="29"/>
      <c r="F389" s="29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</row>
    <row r="390">
      <c r="B390" s="28"/>
      <c r="C390" s="28"/>
      <c r="D390" s="28"/>
      <c r="E390" s="29"/>
      <c r="F390" s="29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</row>
    <row r="391">
      <c r="B391" s="28"/>
      <c r="C391" s="28"/>
      <c r="D391" s="28"/>
      <c r="E391" s="29"/>
      <c r="F391" s="29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</row>
    <row r="392">
      <c r="B392" s="28"/>
      <c r="C392" s="28"/>
      <c r="D392" s="28"/>
      <c r="E392" s="29"/>
      <c r="F392" s="29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</row>
    <row r="393">
      <c r="B393" s="28"/>
      <c r="C393" s="28"/>
      <c r="D393" s="28"/>
      <c r="E393" s="29"/>
      <c r="F393" s="29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</row>
    <row r="394">
      <c r="B394" s="28"/>
      <c r="C394" s="28"/>
      <c r="D394" s="28"/>
      <c r="E394" s="29"/>
      <c r="F394" s="29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</row>
    <row r="395">
      <c r="B395" s="28"/>
      <c r="C395" s="28"/>
      <c r="D395" s="28"/>
      <c r="E395" s="29"/>
      <c r="F395" s="29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</row>
    <row r="396">
      <c r="B396" s="28"/>
      <c r="C396" s="28"/>
      <c r="D396" s="28"/>
      <c r="E396" s="29"/>
      <c r="F396" s="29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</row>
    <row r="397">
      <c r="B397" s="28"/>
      <c r="C397" s="28"/>
      <c r="D397" s="28"/>
      <c r="E397" s="29"/>
      <c r="F397" s="29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</row>
    <row r="398">
      <c r="B398" s="28"/>
      <c r="C398" s="28"/>
      <c r="D398" s="28"/>
      <c r="E398" s="29"/>
      <c r="F398" s="29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</row>
    <row r="399">
      <c r="B399" s="28"/>
      <c r="C399" s="28"/>
      <c r="D399" s="28"/>
      <c r="E399" s="29"/>
      <c r="F399" s="29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</row>
    <row r="400">
      <c r="B400" s="28"/>
      <c r="C400" s="28"/>
      <c r="D400" s="28"/>
      <c r="E400" s="29"/>
      <c r="F400" s="29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</row>
    <row r="401">
      <c r="B401" s="28"/>
      <c r="C401" s="28"/>
      <c r="D401" s="28"/>
      <c r="E401" s="29"/>
      <c r="F401" s="29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</row>
    <row r="402">
      <c r="B402" s="28"/>
      <c r="C402" s="28"/>
      <c r="D402" s="28"/>
      <c r="E402" s="29"/>
      <c r="F402" s="29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</row>
    <row r="403">
      <c r="B403" s="28"/>
      <c r="C403" s="28"/>
      <c r="D403" s="28"/>
      <c r="E403" s="29"/>
      <c r="F403" s="29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</row>
    <row r="404">
      <c r="B404" s="28"/>
      <c r="C404" s="28"/>
      <c r="D404" s="28"/>
      <c r="E404" s="29"/>
      <c r="F404" s="29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</row>
    <row r="405">
      <c r="B405" s="28"/>
      <c r="C405" s="28"/>
      <c r="D405" s="28"/>
      <c r="E405" s="29"/>
      <c r="F405" s="29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</row>
    <row r="406">
      <c r="B406" s="28"/>
      <c r="C406" s="28"/>
      <c r="D406" s="28"/>
      <c r="E406" s="29"/>
      <c r="F406" s="29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</row>
    <row r="407">
      <c r="B407" s="28"/>
      <c r="C407" s="28"/>
      <c r="D407" s="28"/>
      <c r="E407" s="29"/>
      <c r="F407" s="29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</row>
    <row r="408">
      <c r="B408" s="28"/>
      <c r="C408" s="28"/>
      <c r="D408" s="28"/>
      <c r="E408" s="29"/>
      <c r="F408" s="29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</row>
    <row r="409">
      <c r="B409" s="28"/>
      <c r="C409" s="28"/>
      <c r="D409" s="28"/>
      <c r="E409" s="29"/>
      <c r="F409" s="29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</row>
    <row r="410">
      <c r="B410" s="28"/>
      <c r="C410" s="28"/>
      <c r="D410" s="28"/>
      <c r="E410" s="29"/>
      <c r="F410" s="29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</row>
    <row r="411">
      <c r="B411" s="28"/>
      <c r="C411" s="28"/>
      <c r="D411" s="28"/>
      <c r="E411" s="29"/>
      <c r="F411" s="29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</row>
    <row r="412">
      <c r="B412" s="28"/>
      <c r="C412" s="28"/>
      <c r="D412" s="28"/>
      <c r="E412" s="29"/>
      <c r="F412" s="29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</row>
    <row r="413">
      <c r="B413" s="28"/>
      <c r="C413" s="28"/>
      <c r="D413" s="28"/>
      <c r="E413" s="29"/>
      <c r="F413" s="29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</row>
    <row r="414">
      <c r="B414" s="28"/>
      <c r="C414" s="28"/>
      <c r="D414" s="28"/>
      <c r="E414" s="29"/>
      <c r="F414" s="29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</row>
    <row r="415">
      <c r="B415" s="28"/>
      <c r="C415" s="28"/>
      <c r="D415" s="28"/>
      <c r="E415" s="29"/>
      <c r="F415" s="29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</row>
    <row r="416">
      <c r="B416" s="28"/>
      <c r="C416" s="28"/>
      <c r="D416" s="28"/>
      <c r="E416" s="29"/>
      <c r="F416" s="29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</row>
    <row r="417">
      <c r="B417" s="28"/>
      <c r="C417" s="28"/>
      <c r="D417" s="28"/>
      <c r="E417" s="29"/>
      <c r="F417" s="29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</row>
    <row r="418">
      <c r="B418" s="28"/>
      <c r="C418" s="28"/>
      <c r="D418" s="28"/>
      <c r="E418" s="29"/>
      <c r="F418" s="29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</row>
    <row r="419">
      <c r="B419" s="28"/>
      <c r="C419" s="28"/>
      <c r="D419" s="28"/>
      <c r="E419" s="29"/>
      <c r="F419" s="29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</row>
    <row r="420">
      <c r="B420" s="28"/>
      <c r="C420" s="28"/>
      <c r="D420" s="28"/>
      <c r="E420" s="29"/>
      <c r="F420" s="29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</row>
    <row r="421">
      <c r="B421" s="28"/>
      <c r="C421" s="28"/>
      <c r="D421" s="28"/>
      <c r="E421" s="29"/>
      <c r="F421" s="29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</row>
    <row r="422">
      <c r="B422" s="28"/>
      <c r="C422" s="28"/>
      <c r="D422" s="28"/>
      <c r="E422" s="29"/>
      <c r="F422" s="29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</row>
    <row r="423">
      <c r="B423" s="28"/>
      <c r="C423" s="28"/>
      <c r="D423" s="28"/>
      <c r="E423" s="29"/>
      <c r="F423" s="29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</row>
    <row r="424">
      <c r="B424" s="28"/>
      <c r="C424" s="28"/>
      <c r="D424" s="28"/>
      <c r="E424" s="29"/>
      <c r="F424" s="29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</row>
    <row r="425">
      <c r="B425" s="28"/>
      <c r="C425" s="28"/>
      <c r="D425" s="28"/>
      <c r="E425" s="29"/>
      <c r="F425" s="29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</row>
    <row r="426">
      <c r="B426" s="28"/>
      <c r="C426" s="28"/>
      <c r="D426" s="28"/>
      <c r="E426" s="29"/>
      <c r="F426" s="29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</row>
    <row r="427">
      <c r="B427" s="28"/>
      <c r="C427" s="28"/>
      <c r="D427" s="28"/>
      <c r="E427" s="29"/>
      <c r="F427" s="29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</row>
    <row r="428">
      <c r="B428" s="28"/>
      <c r="C428" s="28"/>
      <c r="D428" s="28"/>
      <c r="E428" s="29"/>
      <c r="F428" s="29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</row>
    <row r="429">
      <c r="B429" s="28"/>
      <c r="C429" s="28"/>
      <c r="D429" s="28"/>
      <c r="E429" s="29"/>
      <c r="F429" s="29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</row>
    <row r="430">
      <c r="B430" s="28"/>
      <c r="C430" s="28"/>
      <c r="D430" s="28"/>
      <c r="E430" s="29"/>
      <c r="F430" s="29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</row>
    <row r="431">
      <c r="B431" s="28"/>
      <c r="C431" s="28"/>
      <c r="D431" s="28"/>
      <c r="E431" s="29"/>
      <c r="F431" s="29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</row>
    <row r="432">
      <c r="B432" s="28"/>
      <c r="C432" s="28"/>
      <c r="D432" s="28"/>
      <c r="E432" s="29"/>
      <c r="F432" s="29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</row>
    <row r="433">
      <c r="B433" s="28"/>
      <c r="C433" s="28"/>
      <c r="D433" s="28"/>
      <c r="E433" s="29"/>
      <c r="F433" s="29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</row>
    <row r="434">
      <c r="B434" s="28"/>
      <c r="C434" s="28"/>
      <c r="D434" s="28"/>
      <c r="E434" s="29"/>
      <c r="F434" s="29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</row>
    <row r="435">
      <c r="B435" s="28"/>
      <c r="C435" s="28"/>
      <c r="D435" s="28"/>
      <c r="E435" s="29"/>
      <c r="F435" s="29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</row>
    <row r="436">
      <c r="B436" s="28"/>
      <c r="C436" s="28"/>
      <c r="D436" s="28"/>
      <c r="E436" s="29"/>
      <c r="F436" s="29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</row>
    <row r="437">
      <c r="B437" s="28"/>
      <c r="C437" s="28"/>
      <c r="D437" s="28"/>
      <c r="E437" s="29"/>
      <c r="F437" s="29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</row>
  </sheetData>
  <mergeCells count="20">
    <mergeCell ref="G2:G3"/>
    <mergeCell ref="H2:H3"/>
    <mergeCell ref="I2:I3"/>
    <mergeCell ref="J2:J3"/>
    <mergeCell ref="K2:K3"/>
    <mergeCell ref="L2:N2"/>
    <mergeCell ref="O2:O3"/>
    <mergeCell ref="P2:P3"/>
    <mergeCell ref="Q2:Q3"/>
    <mergeCell ref="R2:R3"/>
    <mergeCell ref="S2:S3"/>
    <mergeCell ref="T2:T3"/>
    <mergeCell ref="A1:U1"/>
    <mergeCell ref="A2:A3"/>
    <mergeCell ref="B2:B3"/>
    <mergeCell ref="C2:C3"/>
    <mergeCell ref="D2:D3"/>
    <mergeCell ref="E2:E3"/>
    <mergeCell ref="F2:F3"/>
    <mergeCell ref="U2:U3"/>
  </mergeCells>
  <hyperlinks>
    <hyperlink r:id="rId2" ref="A8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5.14"/>
    <col customWidth="1" min="2" max="2" width="8.71"/>
    <col customWidth="1" min="3" max="3" width="8.0"/>
    <col customWidth="1" min="4" max="5" width="10.14"/>
    <col customWidth="1" min="6" max="6" width="11.57"/>
    <col customWidth="1" min="7" max="7" width="7.29"/>
    <col customWidth="1" min="8" max="8" width="8.0"/>
    <col customWidth="1" min="9" max="9" width="10.86"/>
    <col customWidth="1" min="10" max="10" width="15.29"/>
    <col customWidth="1" min="11" max="11" width="14.43"/>
    <col customWidth="1" min="12" max="12" width="10.29"/>
    <col customWidth="1" min="13" max="14" width="14.43"/>
    <col customWidth="1" min="15" max="19" width="7.29"/>
    <col customWidth="1" min="20" max="20" width="10.14"/>
  </cols>
  <sheetData>
    <row r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1" t="s">
        <v>12</v>
      </c>
      <c r="M2" s="2"/>
      <c r="N2" s="3"/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 t="s">
        <v>20</v>
      </c>
      <c r="M3" s="8" t="s">
        <v>21</v>
      </c>
      <c r="N3" s="8" t="s">
        <v>22</v>
      </c>
      <c r="O3" s="7"/>
      <c r="P3" s="7"/>
      <c r="Q3" s="7"/>
      <c r="R3" s="7"/>
      <c r="S3" s="7"/>
      <c r="T3" s="7"/>
      <c r="U3" s="7"/>
    </row>
    <row r="4">
      <c r="A4" s="9" t="str">
        <f>HYPERLINK("https://docs.google.com/spreadsheets/d/18wmIvmUS3SeZNSPQeUzr6sPl9GBYpVSlOaFR_kJCmKo/edit?usp=sharing","Colby Donaldson")</f>
        <v>Colby Donaldson</v>
      </c>
      <c r="B4" s="10">
        <v>2.0</v>
      </c>
      <c r="C4" s="10">
        <v>98.0</v>
      </c>
      <c r="D4" s="10">
        <v>14.0</v>
      </c>
      <c r="E4" s="11">
        <v>7.0</v>
      </c>
      <c r="F4" s="12">
        <v>0.1747</v>
      </c>
      <c r="G4" s="10">
        <v>42.0</v>
      </c>
      <c r="H4" s="10" t="s">
        <v>23</v>
      </c>
      <c r="I4" s="10" t="s">
        <v>9</v>
      </c>
      <c r="J4" s="10" t="s">
        <v>26</v>
      </c>
      <c r="K4" s="10" t="s">
        <v>27</v>
      </c>
      <c r="L4" s="13">
        <v>7.0</v>
      </c>
      <c r="M4" s="13">
        <v>2.0</v>
      </c>
      <c r="N4" s="13">
        <v>5.0</v>
      </c>
      <c r="O4" s="13">
        <v>12.0</v>
      </c>
      <c r="P4" s="10" t="s">
        <v>23</v>
      </c>
      <c r="Q4" s="10" t="s">
        <v>23</v>
      </c>
      <c r="R4" s="10"/>
      <c r="S4" s="10" t="s">
        <v>23</v>
      </c>
      <c r="T4" s="10"/>
      <c r="U4" s="10" t="s">
        <v>23</v>
      </c>
    </row>
    <row r="5">
      <c r="A5" s="9" t="str">
        <f>HYPERLINK("https://docs.google.com/spreadsheets/d/14eN4V4imd53x81UQVckjyAx_2xIFGXJ8NE4XmE1oDkg/edit?usp=sharing","Kelly Wiglesworth")</f>
        <v>Kelly Wiglesworth</v>
      </c>
      <c r="B5" s="10">
        <v>1.0</v>
      </c>
      <c r="C5" s="10">
        <v>85.0</v>
      </c>
      <c r="D5" s="10">
        <v>13.0</v>
      </c>
      <c r="E5" s="11">
        <v>6.54</v>
      </c>
      <c r="F5" s="14">
        <v>0.1294</v>
      </c>
      <c r="G5" s="10">
        <v>39.0</v>
      </c>
      <c r="H5" s="10" t="s">
        <v>23</v>
      </c>
      <c r="I5" s="10" t="s">
        <v>9</v>
      </c>
      <c r="J5" s="10" t="s">
        <v>26</v>
      </c>
      <c r="K5" s="10" t="s">
        <v>27</v>
      </c>
      <c r="L5" s="13">
        <v>3.0</v>
      </c>
      <c r="M5" s="13">
        <v>3.0</v>
      </c>
      <c r="N5" s="13">
        <v>4.0</v>
      </c>
      <c r="O5" s="13">
        <v>12.0</v>
      </c>
      <c r="P5" s="10" t="s">
        <v>23</v>
      </c>
      <c r="Q5" s="10" t="s">
        <v>23</v>
      </c>
      <c r="R5" s="10"/>
      <c r="S5" s="10" t="s">
        <v>23</v>
      </c>
      <c r="T5" s="10"/>
      <c r="U5" s="10" t="s">
        <v>23</v>
      </c>
    </row>
    <row r="6">
      <c r="A6" s="9" t="str">
        <f>HYPERLINK("https://docs.google.com/spreadsheets/d/1OvIOVR4AMBMcafVt9o6KEur-eEFhew1kw_KUv3DV3Xs/edit?usp=sharing","Coach Wade")</f>
        <v>Coach Wade</v>
      </c>
      <c r="B6" s="10">
        <v>23.0</v>
      </c>
      <c r="C6" s="10">
        <v>78.0</v>
      </c>
      <c r="D6" s="10">
        <v>14.0</v>
      </c>
      <c r="E6" s="11">
        <v>5.57</v>
      </c>
      <c r="F6" s="12">
        <v>0.1945</v>
      </c>
      <c r="G6" s="10">
        <v>39.0</v>
      </c>
      <c r="H6" s="10" t="s">
        <v>23</v>
      </c>
      <c r="I6" s="10" t="s">
        <v>9</v>
      </c>
      <c r="J6" s="10" t="s">
        <v>31</v>
      </c>
      <c r="K6" s="10" t="s">
        <v>32</v>
      </c>
      <c r="L6" s="13">
        <v>6.0</v>
      </c>
      <c r="M6" s="13">
        <v>4.0</v>
      </c>
      <c r="N6" s="13">
        <v>1.0</v>
      </c>
      <c r="O6" s="13">
        <v>14.0</v>
      </c>
      <c r="P6" s="13" t="s">
        <v>23</v>
      </c>
      <c r="Q6" s="13" t="s">
        <v>23</v>
      </c>
      <c r="R6" s="13"/>
      <c r="S6" s="10">
        <v>1.0</v>
      </c>
      <c r="T6" s="10"/>
      <c r="U6" s="10" t="s">
        <v>23</v>
      </c>
    </row>
    <row r="7">
      <c r="A7" s="9" t="str">
        <f>HYPERLINK("https://docs.google.com/spreadsheets/d/1hg_GT4r2smQsgkwEYBqHOukVavnNSyncsyfceWDpOho/edit?usp=sharing","Rob Mariano")</f>
        <v>Rob Mariano</v>
      </c>
      <c r="B7" s="10">
        <v>8.0</v>
      </c>
      <c r="C7" s="10">
        <v>75.0</v>
      </c>
      <c r="D7" s="10">
        <v>15.0</v>
      </c>
      <c r="E7" s="11">
        <v>5.0</v>
      </c>
      <c r="F7" s="12">
        <v>0.1479</v>
      </c>
      <c r="G7" s="10">
        <v>39.0</v>
      </c>
      <c r="H7" s="10" t="s">
        <v>23</v>
      </c>
      <c r="I7" s="10" t="s">
        <v>9</v>
      </c>
      <c r="J7" s="10" t="s">
        <v>26</v>
      </c>
      <c r="K7" s="10" t="s">
        <v>32</v>
      </c>
      <c r="L7" s="13">
        <v>12.0</v>
      </c>
      <c r="M7" s="13">
        <v>5.0</v>
      </c>
      <c r="N7" s="13">
        <v>4.0</v>
      </c>
      <c r="O7" s="13">
        <v>9.0</v>
      </c>
      <c r="P7" s="10" t="s">
        <v>23</v>
      </c>
      <c r="Q7" s="10" t="s">
        <v>23</v>
      </c>
      <c r="R7" s="10"/>
      <c r="S7" s="10" t="s">
        <v>23</v>
      </c>
      <c r="T7" s="10"/>
      <c r="U7" s="10" t="s">
        <v>23</v>
      </c>
    </row>
    <row r="8">
      <c r="A8" s="15" t="str">
        <f>HYPERLINK("https://docs.google.com/spreadsheets/d/1t379i2CYDM1ZVdZZy_Nj2m3ht6Sp4J68-xZ2v4-PIMo/edit?usp=sharing","Tai Trang")</f>
        <v>Tai Trang</v>
      </c>
      <c r="B8" s="13">
        <v>32.0</v>
      </c>
      <c r="C8" s="13">
        <v>74.0</v>
      </c>
      <c r="D8" s="13">
        <v>14.0</v>
      </c>
      <c r="E8" s="16">
        <v>5.29</v>
      </c>
      <c r="F8" s="17">
        <v>0.1498</v>
      </c>
      <c r="G8" s="13">
        <v>39.0</v>
      </c>
      <c r="H8" s="13" t="s">
        <v>23</v>
      </c>
      <c r="I8" s="13" t="s">
        <v>9</v>
      </c>
      <c r="J8" s="13" t="s">
        <v>33</v>
      </c>
      <c r="K8" s="13" t="s">
        <v>34</v>
      </c>
      <c r="L8" s="13">
        <v>10.0</v>
      </c>
      <c r="M8" s="13">
        <v>4.0</v>
      </c>
      <c r="N8" s="13">
        <v>1.0</v>
      </c>
      <c r="O8" s="13">
        <v>9.0</v>
      </c>
      <c r="P8" s="13" t="s">
        <v>23</v>
      </c>
      <c r="Q8" s="13" t="s">
        <v>23</v>
      </c>
      <c r="R8" s="13"/>
      <c r="S8" s="13">
        <v>1.0</v>
      </c>
      <c r="T8" s="13"/>
      <c r="U8" s="13" t="s">
        <v>23</v>
      </c>
    </row>
    <row r="9">
      <c r="A9" s="15" t="str">
        <f>HYPERLINK("https://docs.google.com/spreadsheets/d/1t379i2CYDM1ZVdZZy_Nj2m3ht6Sp4J68-xZ2v4-PIMo/edit?usp=sharing","Aubry Bracco")</f>
        <v>Aubry Bracco</v>
      </c>
      <c r="B9" s="13">
        <v>32.0</v>
      </c>
      <c r="C9" s="13">
        <v>70.0</v>
      </c>
      <c r="D9" s="13">
        <v>14.0</v>
      </c>
      <c r="E9" s="16">
        <v>5.0</v>
      </c>
      <c r="F9" s="17">
        <v>0.1417</v>
      </c>
      <c r="G9" s="13">
        <v>39.0</v>
      </c>
      <c r="H9" s="13">
        <v>2.0</v>
      </c>
      <c r="I9" s="13" t="s">
        <v>9</v>
      </c>
      <c r="J9" s="13" t="s">
        <v>31</v>
      </c>
      <c r="K9" s="13" t="s">
        <v>32</v>
      </c>
      <c r="L9" s="13">
        <v>8.0</v>
      </c>
      <c r="M9" s="13">
        <v>3.0</v>
      </c>
      <c r="N9" s="13" t="s">
        <v>23</v>
      </c>
      <c r="O9" s="13">
        <v>10.0</v>
      </c>
      <c r="P9" s="13" t="s">
        <v>23</v>
      </c>
      <c r="Q9" s="13" t="s">
        <v>23</v>
      </c>
      <c r="R9" s="13"/>
      <c r="S9" s="13" t="s">
        <v>23</v>
      </c>
      <c r="T9" s="13"/>
      <c r="U9" s="13" t="s">
        <v>23</v>
      </c>
    </row>
    <row r="10">
      <c r="A10" s="19" t="str">
        <f>HYPERLINK("https://docs.google.com/spreadsheets/d/1TniiK35-AGMNddj9lkge_tT9QfOGXMfX2thnTv8npTo/edit?usp=sharing","Clay Jordan")</f>
        <v>Clay Jordan</v>
      </c>
      <c r="B10" s="20">
        <v>5.0</v>
      </c>
      <c r="C10" s="21">
        <v>68.0</v>
      </c>
      <c r="D10" s="20">
        <v>13.0</v>
      </c>
      <c r="E10" s="22">
        <v>5.23</v>
      </c>
      <c r="F10" s="14">
        <v>0.1408</v>
      </c>
      <c r="G10" s="21">
        <v>39.0</v>
      </c>
      <c r="H10" s="21" t="s">
        <v>23</v>
      </c>
      <c r="I10" s="10" t="s">
        <v>9</v>
      </c>
      <c r="J10" s="20" t="s">
        <v>26</v>
      </c>
      <c r="K10" s="20" t="s">
        <v>27</v>
      </c>
      <c r="L10" s="13">
        <v>4.0</v>
      </c>
      <c r="M10" s="13">
        <v>5.0</v>
      </c>
      <c r="N10" s="13">
        <v>1.0</v>
      </c>
      <c r="O10" s="13">
        <v>10.0</v>
      </c>
      <c r="P10" s="10" t="s">
        <v>23</v>
      </c>
      <c r="Q10" s="10" t="s">
        <v>23</v>
      </c>
      <c r="R10" s="10"/>
      <c r="S10" s="10" t="s">
        <v>23</v>
      </c>
      <c r="T10" s="10"/>
      <c r="U10" s="10" t="s">
        <v>23</v>
      </c>
    </row>
    <row r="11">
      <c r="A11" s="15" t="str">
        <f>HYPERLINK("https://docs.google.com/spreadsheets/d/1Hf_PbZTXAuooCoiF7c3Bz80t5-zCjdWHF8wQ_HyodNs/edit?usp=sharing","Domenick Abbate")</f>
        <v>Domenick Abbate</v>
      </c>
      <c r="B11" s="13">
        <v>36.0</v>
      </c>
      <c r="C11" s="13">
        <v>68.0</v>
      </c>
      <c r="D11" s="13">
        <v>14.0</v>
      </c>
      <c r="E11" s="16">
        <v>4.86</v>
      </c>
      <c r="F11" s="17">
        <v>0.173</v>
      </c>
      <c r="G11" s="13">
        <v>39.0</v>
      </c>
      <c r="H11" s="13">
        <v>1.0</v>
      </c>
      <c r="I11" s="13" t="s">
        <v>9</v>
      </c>
      <c r="J11" s="13" t="s">
        <v>31</v>
      </c>
      <c r="K11" s="13" t="s">
        <v>39</v>
      </c>
      <c r="L11" s="13">
        <v>7.0</v>
      </c>
      <c r="M11" s="13">
        <v>5.0</v>
      </c>
      <c r="N11" s="13">
        <v>3.0</v>
      </c>
      <c r="O11" s="13">
        <v>12.0</v>
      </c>
      <c r="P11" s="13" t="s">
        <v>23</v>
      </c>
      <c r="Q11" s="13" t="s">
        <v>23</v>
      </c>
      <c r="R11" s="13"/>
      <c r="S11" s="13">
        <v>1.0</v>
      </c>
      <c r="T11" s="13">
        <v>2.0</v>
      </c>
      <c r="U11" s="13" t="s">
        <v>23</v>
      </c>
    </row>
    <row r="12">
      <c r="A12" s="15" t="str">
        <f>HYPERLINK("https://docs.google.com/spreadsheets/d/1sWOJC8eB6rVdXdWiWMgfbfgw2325jIh1ODKxyaCmSGc/edit?usp=sharing","Stephenie LaGrossa")</f>
        <v>Stephenie LaGrossa</v>
      </c>
      <c r="B12" s="13">
        <v>11.0</v>
      </c>
      <c r="C12" s="13">
        <v>63.0</v>
      </c>
      <c r="D12" s="13">
        <v>14.0</v>
      </c>
      <c r="E12" s="16">
        <v>4.5</v>
      </c>
      <c r="F12" s="17">
        <v>0.1429</v>
      </c>
      <c r="G12" s="13">
        <v>39.0</v>
      </c>
      <c r="H12" s="13">
        <v>1.0</v>
      </c>
      <c r="I12" s="13" t="s">
        <v>9</v>
      </c>
      <c r="J12" s="13" t="s">
        <v>26</v>
      </c>
      <c r="K12" s="13" t="s">
        <v>32</v>
      </c>
      <c r="L12" s="13">
        <v>5.0</v>
      </c>
      <c r="M12" s="13">
        <v>3.0</v>
      </c>
      <c r="N12" s="13">
        <v>1.0</v>
      </c>
      <c r="O12" s="13">
        <v>13.0</v>
      </c>
      <c r="P12" s="13" t="s">
        <v>23</v>
      </c>
      <c r="Q12" s="13" t="s">
        <v>23</v>
      </c>
      <c r="R12" s="13"/>
      <c r="S12" s="13" t="s">
        <v>23</v>
      </c>
      <c r="T12" s="13" t="s">
        <v>23</v>
      </c>
      <c r="U12" s="13" t="s">
        <v>23</v>
      </c>
    </row>
    <row r="13">
      <c r="A13" s="9" t="str">
        <f>HYPERLINK("https://docs.google.com/spreadsheets/d/1ReMaq-fM8zzflOjjrMrgnxEsdZxPIPIJqiZ9cCLO3cE/edit?usp=sharing","Lisa Whelchel")</f>
        <v>Lisa Whelchel</v>
      </c>
      <c r="B13" s="10">
        <v>25.0</v>
      </c>
      <c r="C13" s="10">
        <v>58.0</v>
      </c>
      <c r="D13" s="10">
        <v>14.0</v>
      </c>
      <c r="E13" s="11">
        <v>4.14</v>
      </c>
      <c r="F13" s="12">
        <v>0.1333</v>
      </c>
      <c r="G13" s="10">
        <v>39.0</v>
      </c>
      <c r="H13" s="10" t="s">
        <v>23</v>
      </c>
      <c r="I13" s="10" t="s">
        <v>9</v>
      </c>
      <c r="J13" s="10" t="s">
        <v>50</v>
      </c>
      <c r="K13" s="10" t="s">
        <v>51</v>
      </c>
      <c r="L13" s="13">
        <v>10.0</v>
      </c>
      <c r="M13" s="13">
        <v>6.0</v>
      </c>
      <c r="N13" s="13" t="s">
        <v>23</v>
      </c>
      <c r="O13" s="13">
        <v>9.0</v>
      </c>
      <c r="P13" s="10" t="s">
        <v>23</v>
      </c>
      <c r="Q13" s="10" t="s">
        <v>23</v>
      </c>
      <c r="R13" s="10"/>
      <c r="S13" s="10" t="s">
        <v>23</v>
      </c>
      <c r="T13" s="10"/>
      <c r="U13" s="10" t="s">
        <v>23</v>
      </c>
    </row>
    <row r="14">
      <c r="A14" s="9" t="str">
        <f>HYPERLINK("https://docs.google.com/spreadsheets/d/1EsGJrNyA7pLwFUlZ6WfOkbnPz58Cle9N9c6epQSDRVA/edit?usp=sharing","Spencer Bledsoe")</f>
        <v>Spencer Bledsoe</v>
      </c>
      <c r="B14" s="10">
        <v>31.0</v>
      </c>
      <c r="C14" s="10">
        <v>56.0</v>
      </c>
      <c r="D14" s="10">
        <v>14.0</v>
      </c>
      <c r="E14" s="11">
        <v>4.0</v>
      </c>
      <c r="F14" s="12">
        <v>0.1279</v>
      </c>
      <c r="G14" s="10">
        <v>39.0</v>
      </c>
      <c r="H14" s="10" t="s">
        <v>23</v>
      </c>
      <c r="I14" s="10" t="s">
        <v>9</v>
      </c>
      <c r="J14" s="10" t="s">
        <v>50</v>
      </c>
      <c r="K14" s="10" t="s">
        <v>53</v>
      </c>
      <c r="L14" s="13">
        <v>6.0</v>
      </c>
      <c r="M14" s="13">
        <v>2.0</v>
      </c>
      <c r="N14" s="13">
        <v>3.0</v>
      </c>
      <c r="O14" s="13">
        <v>15.0</v>
      </c>
      <c r="P14" s="10" t="s">
        <v>23</v>
      </c>
      <c r="Q14" s="10" t="s">
        <v>23</v>
      </c>
      <c r="R14" s="10"/>
      <c r="S14" s="10" t="s">
        <v>23</v>
      </c>
      <c r="T14" s="10"/>
      <c r="U14" s="10" t="s">
        <v>23</v>
      </c>
    </row>
    <row r="15">
      <c r="A15" s="9" t="str">
        <f>HYPERLINK("https://docs.google.com/spreadsheets/d/1tPYt5CqjX32YXnh0BRsechvszEP2n4_ePabpiRTSzqE/edit?usp=sharing","Lillian Morris")</f>
        <v>Lillian Morris</v>
      </c>
      <c r="B15" s="10">
        <v>7.0</v>
      </c>
      <c r="C15" s="10">
        <v>55.0</v>
      </c>
      <c r="D15" s="10">
        <v>10.0</v>
      </c>
      <c r="E15" s="11">
        <v>5.5</v>
      </c>
      <c r="F15" s="12">
        <v>0.1098</v>
      </c>
      <c r="G15" s="10">
        <v>30.0</v>
      </c>
      <c r="H15" s="10" t="s">
        <v>23</v>
      </c>
      <c r="I15" s="10" t="s">
        <v>9</v>
      </c>
      <c r="J15" s="10" t="s">
        <v>26</v>
      </c>
      <c r="K15" s="10" t="s">
        <v>27</v>
      </c>
      <c r="L15" s="13">
        <v>3.0</v>
      </c>
      <c r="M15" s="13" t="s">
        <v>23</v>
      </c>
      <c r="N15" s="13">
        <v>2.0</v>
      </c>
      <c r="O15" s="13">
        <v>12.0</v>
      </c>
      <c r="P15" s="10" t="s">
        <v>23</v>
      </c>
      <c r="Q15" s="10" t="s">
        <v>23</v>
      </c>
      <c r="R15" s="10"/>
      <c r="S15" s="10" t="s">
        <v>23</v>
      </c>
      <c r="T15" s="10"/>
      <c r="U15" s="10" t="s">
        <v>23</v>
      </c>
    </row>
    <row r="16">
      <c r="A16" s="9" t="str">
        <f>HYPERLINK("https://docs.google.com/spreadsheets/d/1w0I5RoQ7uENhUG1ncC5V9B3b6BQapplx180-f9F9s4w/edit?usp=sharing","Matthew von Ertfelda")</f>
        <v>Matthew von Ertfelda</v>
      </c>
      <c r="B16" s="10">
        <v>6.0</v>
      </c>
      <c r="C16" s="10">
        <v>53.0</v>
      </c>
      <c r="D16" s="10">
        <v>13.0</v>
      </c>
      <c r="E16" s="11">
        <v>4.08</v>
      </c>
      <c r="F16" s="12">
        <v>0.1091</v>
      </c>
      <c r="G16" s="10">
        <v>39.0</v>
      </c>
      <c r="H16" s="10" t="s">
        <v>23</v>
      </c>
      <c r="I16" s="10" t="s">
        <v>9</v>
      </c>
      <c r="J16" s="10" t="s">
        <v>26</v>
      </c>
      <c r="K16" s="10" t="s">
        <v>27</v>
      </c>
      <c r="L16" s="13">
        <v>5.0</v>
      </c>
      <c r="M16" s="13">
        <v>3.0</v>
      </c>
      <c r="N16" s="13">
        <v>2.0</v>
      </c>
      <c r="O16" s="13">
        <v>12.0</v>
      </c>
      <c r="P16" s="10" t="s">
        <v>23</v>
      </c>
      <c r="Q16" s="10" t="s">
        <v>23</v>
      </c>
      <c r="R16" s="10"/>
      <c r="S16" s="10" t="s">
        <v>23</v>
      </c>
      <c r="T16" s="10"/>
      <c r="U16" s="10" t="s">
        <v>23</v>
      </c>
    </row>
    <row r="17">
      <c r="A17" s="15" t="str">
        <f>HYPERLINK("https://docs.google.com/spreadsheets/d/1q-5bbq9txg93Y0eUACxRPTIN5PuRjeDVpNDfeXEw4iE/edit?usp=sharing","Chrissy Hofbeck")</f>
        <v>Chrissy Hofbeck</v>
      </c>
      <c r="B17" s="13">
        <v>35.0</v>
      </c>
      <c r="C17" s="13">
        <v>51.0</v>
      </c>
      <c r="D17" s="13">
        <v>14.0</v>
      </c>
      <c r="E17" s="16">
        <v>3.64</v>
      </c>
      <c r="F17" s="17">
        <v>0.1183</v>
      </c>
      <c r="G17" s="13">
        <v>39.0</v>
      </c>
      <c r="H17" s="13">
        <v>1.0</v>
      </c>
      <c r="I17" s="13" t="s">
        <v>9</v>
      </c>
      <c r="J17" s="13" t="s">
        <v>31</v>
      </c>
      <c r="K17" s="13" t="s">
        <v>32</v>
      </c>
      <c r="L17" s="13">
        <v>10.0</v>
      </c>
      <c r="M17" s="13">
        <v>3.0</v>
      </c>
      <c r="N17" s="13">
        <v>4.0</v>
      </c>
      <c r="O17" s="13">
        <v>13.0</v>
      </c>
      <c r="P17" s="13" t="s">
        <v>23</v>
      </c>
      <c r="Q17" s="13" t="s">
        <v>23</v>
      </c>
      <c r="R17" s="13"/>
      <c r="S17" s="13">
        <v>1.0</v>
      </c>
      <c r="T17" s="13">
        <v>1.0</v>
      </c>
      <c r="U17" s="13" t="s">
        <v>23</v>
      </c>
    </row>
    <row r="18">
      <c r="A18" s="9" t="str">
        <f>HYPERLINK("https://docs.google.com/spreadsheets/d/1HA0vQC0CSnQtVc8u58vwNd3sIFCc79SKVqM1abMG1hI/edit?usp=sharing","Carolyn Rivera")</f>
        <v>Carolyn Rivera</v>
      </c>
      <c r="B18" s="10">
        <v>30.0</v>
      </c>
      <c r="C18" s="10">
        <v>50.0</v>
      </c>
      <c r="D18" s="10">
        <v>14.0</v>
      </c>
      <c r="E18" s="11">
        <v>3.57</v>
      </c>
      <c r="F18" s="12">
        <v>0.1094</v>
      </c>
      <c r="G18" s="10">
        <v>39.0</v>
      </c>
      <c r="H18" s="10">
        <v>2.0</v>
      </c>
      <c r="I18" s="10" t="s">
        <v>9</v>
      </c>
      <c r="J18" s="10" t="s">
        <v>50</v>
      </c>
      <c r="K18" s="10" t="s">
        <v>51</v>
      </c>
      <c r="L18" s="13">
        <v>10.0</v>
      </c>
      <c r="M18" s="13">
        <v>4.0</v>
      </c>
      <c r="N18" s="13">
        <v>2.0</v>
      </c>
      <c r="O18" s="13">
        <v>12.0</v>
      </c>
      <c r="P18" s="10" t="s">
        <v>23</v>
      </c>
      <c r="Q18" s="10" t="s">
        <v>23</v>
      </c>
      <c r="R18" s="10"/>
      <c r="S18" s="10">
        <v>1.0</v>
      </c>
      <c r="T18" s="10"/>
      <c r="U18" s="10" t="s">
        <v>23</v>
      </c>
    </row>
    <row r="19">
      <c r="A19" s="15" t="str">
        <f>HYPERLINK("https://docs.google.com/spreadsheets/d/1q-5bbq9txg93Y0eUACxRPTIN5PuRjeDVpNDfeXEw4iE/edit?usp=sharing","Ryan Ulrich")</f>
        <v>Ryan Ulrich</v>
      </c>
      <c r="B19" s="13">
        <v>35.0</v>
      </c>
      <c r="C19" s="13">
        <v>49.0</v>
      </c>
      <c r="D19" s="13">
        <v>14.0</v>
      </c>
      <c r="E19" s="16">
        <v>3.5</v>
      </c>
      <c r="F19" s="17">
        <v>0.1137</v>
      </c>
      <c r="G19" s="13">
        <v>39.0</v>
      </c>
      <c r="H19" s="13" t="s">
        <v>23</v>
      </c>
      <c r="I19" s="13" t="s">
        <v>9</v>
      </c>
      <c r="J19" s="13" t="s">
        <v>33</v>
      </c>
      <c r="K19" s="13" t="s">
        <v>34</v>
      </c>
      <c r="L19" s="13">
        <v>5.0</v>
      </c>
      <c r="M19" s="13">
        <v>2.0</v>
      </c>
      <c r="N19" s="13" t="s">
        <v>23</v>
      </c>
      <c r="O19" s="13">
        <v>14.0</v>
      </c>
      <c r="P19" s="13" t="s">
        <v>23</v>
      </c>
      <c r="Q19" s="13" t="s">
        <v>23</v>
      </c>
      <c r="R19" s="13"/>
      <c r="S19" s="13">
        <v>2.0</v>
      </c>
      <c r="T19" s="13" t="s">
        <v>23</v>
      </c>
      <c r="U19" s="13" t="s">
        <v>23</v>
      </c>
    </row>
    <row r="20">
      <c r="A20" s="9" t="str">
        <f>HYPERLINK("https://docs.google.com/spreadsheets/d/1v6gXy2rHfH0CkzT8zUZyZm6b-WimbnBspkh1B5hksu4/edit?usp=sharing","Sabria Thompson")</f>
        <v>Sabria Thompson</v>
      </c>
      <c r="B20" s="10">
        <v>24.0</v>
      </c>
      <c r="C20" s="10">
        <v>42.0</v>
      </c>
      <c r="D20" s="10">
        <v>14.0</v>
      </c>
      <c r="E20" s="11">
        <v>3.0</v>
      </c>
      <c r="F20" s="12">
        <v>0.1099</v>
      </c>
      <c r="G20" s="10">
        <v>39.0</v>
      </c>
      <c r="H20" s="10">
        <v>1.0</v>
      </c>
      <c r="I20" s="10" t="s">
        <v>9</v>
      </c>
      <c r="J20" s="10" t="s">
        <v>31</v>
      </c>
      <c r="K20" s="10" t="s">
        <v>32</v>
      </c>
      <c r="L20" s="13">
        <v>8.0</v>
      </c>
      <c r="M20" s="13">
        <v>3.0</v>
      </c>
      <c r="N20" s="13" t="s">
        <v>23</v>
      </c>
      <c r="O20" s="13">
        <v>11.0</v>
      </c>
      <c r="P20" s="10" t="s">
        <v>23</v>
      </c>
      <c r="Q20" s="10" t="s">
        <v>23</v>
      </c>
      <c r="R20" s="10"/>
      <c r="S20" s="10">
        <v>1.0</v>
      </c>
      <c r="T20" s="10"/>
      <c r="U20" s="10" t="s">
        <v>23</v>
      </c>
    </row>
    <row r="21">
      <c r="A21" s="15" t="str">
        <f>HYPERLINK("https://docs.google.com/spreadsheets/d/1VEbyebFdBtPJKQC_U2uGrW6_v1fn6Hsoz3YYLyCxHR0/edit?usp=sharing","Danielle DiLorenzo")</f>
        <v>Danielle DiLorenzo</v>
      </c>
      <c r="B21" s="13">
        <v>12.0</v>
      </c>
      <c r="C21" s="13">
        <v>42.0</v>
      </c>
      <c r="D21" s="13">
        <v>14.0</v>
      </c>
      <c r="E21" s="16">
        <v>3.0</v>
      </c>
      <c r="F21" s="17">
        <v>0.0124</v>
      </c>
      <c r="G21" s="13">
        <v>39.0</v>
      </c>
      <c r="H21" s="13">
        <v>2.0</v>
      </c>
      <c r="I21" s="13" t="s">
        <v>9</v>
      </c>
      <c r="J21" s="13" t="s">
        <v>26</v>
      </c>
      <c r="K21" s="13" t="s">
        <v>27</v>
      </c>
      <c r="L21" s="13">
        <v>6.0</v>
      </c>
      <c r="M21" s="13">
        <v>4.0</v>
      </c>
      <c r="N21" s="13">
        <v>1.0</v>
      </c>
      <c r="O21" s="13">
        <v>10.0</v>
      </c>
      <c r="P21" s="13">
        <v>3.0</v>
      </c>
      <c r="Q21" s="13" t="s">
        <v>23</v>
      </c>
      <c r="R21" s="13"/>
      <c r="S21" s="13" t="s">
        <v>23</v>
      </c>
      <c r="T21" s="13" t="s">
        <v>23</v>
      </c>
      <c r="U21" s="13" t="s">
        <v>23</v>
      </c>
    </row>
    <row r="22">
      <c r="A22" s="9" t="str">
        <f>HYPERLINK("https://docs.google.com/spreadsheets/d/1CcEdjXKuhm6HmXecNbnscxpFab1HRQEjKSDga6QxqAU/edit?usp=sharing","Phillip Sheppard")</f>
        <v>Phillip Sheppard</v>
      </c>
      <c r="B22" s="10">
        <v>22.0</v>
      </c>
      <c r="C22" s="10">
        <v>41.0</v>
      </c>
      <c r="D22" s="10">
        <v>14.0</v>
      </c>
      <c r="E22" s="11">
        <v>2.93</v>
      </c>
      <c r="F22" s="12">
        <v>0.0967</v>
      </c>
      <c r="G22" s="10">
        <v>39.0</v>
      </c>
      <c r="H22" s="10">
        <v>2.0</v>
      </c>
      <c r="I22" s="10" t="s">
        <v>9</v>
      </c>
      <c r="J22" s="10" t="s">
        <v>31</v>
      </c>
      <c r="K22" s="10" t="s">
        <v>32</v>
      </c>
      <c r="L22" s="13">
        <v>6.0</v>
      </c>
      <c r="M22" s="13">
        <v>4.0</v>
      </c>
      <c r="N22" s="13" t="s">
        <v>23</v>
      </c>
      <c r="O22" s="13">
        <v>14.0</v>
      </c>
      <c r="P22" s="13" t="s">
        <v>23</v>
      </c>
      <c r="Q22" s="13" t="s">
        <v>23</v>
      </c>
      <c r="R22" s="13"/>
      <c r="S22" s="10" t="s">
        <v>23</v>
      </c>
      <c r="T22" s="10"/>
      <c r="U22" s="10" t="s">
        <v>23</v>
      </c>
    </row>
    <row r="23">
      <c r="A23" s="9" t="str">
        <f>HYPERLINK("https://docs.google.com/spreadsheets/d/1ReMaq-fM8zzflOjjrMrgnxEsdZxPIPIJqiZ9cCLO3cE/edit?usp=sharing","Michael Skupin")</f>
        <v>Michael Skupin</v>
      </c>
      <c r="B23" s="10">
        <v>25.0</v>
      </c>
      <c r="C23" s="10">
        <v>40.0</v>
      </c>
      <c r="D23" s="10">
        <v>14.0</v>
      </c>
      <c r="E23" s="11">
        <v>2.86</v>
      </c>
      <c r="F23" s="12">
        <v>0.092</v>
      </c>
      <c r="G23" s="10">
        <v>39.0</v>
      </c>
      <c r="H23" s="10">
        <v>5.0</v>
      </c>
      <c r="I23" s="10" t="s">
        <v>9</v>
      </c>
      <c r="J23" s="10" t="s">
        <v>50</v>
      </c>
      <c r="K23" s="10" t="s">
        <v>51</v>
      </c>
      <c r="L23" s="13">
        <v>9.0</v>
      </c>
      <c r="M23" s="13">
        <v>6.0</v>
      </c>
      <c r="N23" s="13">
        <v>2.0</v>
      </c>
      <c r="O23" s="13">
        <v>9.0</v>
      </c>
      <c r="P23" s="10" t="s">
        <v>23</v>
      </c>
      <c r="Q23" s="10" t="s">
        <v>23</v>
      </c>
      <c r="R23" s="10"/>
      <c r="S23" s="10" t="s">
        <v>23</v>
      </c>
      <c r="T23" s="10"/>
      <c r="U23" s="10" t="s">
        <v>23</v>
      </c>
    </row>
    <row r="24">
      <c r="A24" s="30" t="str">
        <f>HYPERLINK("https://docs.google.com/spreadsheets/d/1yi_HtvN4TS5uRWCCFJg5RFaoouiIIe8CAtY_XnqP6iM/edit?usp=sharing","Twila Tanner")</f>
        <v>Twila Tanner</v>
      </c>
      <c r="B24" s="31">
        <v>9.0</v>
      </c>
      <c r="C24" s="31">
        <v>39.0</v>
      </c>
      <c r="D24" s="31">
        <v>14.0</v>
      </c>
      <c r="E24" s="32">
        <v>2.79</v>
      </c>
      <c r="F24" s="33">
        <v>0.0931</v>
      </c>
      <c r="G24" s="31">
        <v>39.0</v>
      </c>
      <c r="H24" s="31" t="s">
        <v>23</v>
      </c>
      <c r="I24" s="31" t="s">
        <v>9</v>
      </c>
      <c r="J24" s="31" t="s">
        <v>26</v>
      </c>
      <c r="K24" s="31" t="s">
        <v>32</v>
      </c>
      <c r="L24" s="31">
        <v>6.0</v>
      </c>
      <c r="M24" s="31">
        <v>4.0</v>
      </c>
      <c r="N24" s="31">
        <v>1.0</v>
      </c>
      <c r="O24" s="31">
        <v>12.0</v>
      </c>
      <c r="P24" s="34" t="s">
        <v>23</v>
      </c>
      <c r="Q24" s="34" t="s">
        <v>23</v>
      </c>
      <c r="R24" s="34"/>
      <c r="S24" s="34" t="s">
        <v>23</v>
      </c>
      <c r="T24" s="34"/>
      <c r="U24" s="34" t="s">
        <v>23</v>
      </c>
    </row>
    <row r="25">
      <c r="A25" s="15" t="str">
        <f>HYPERLINK("https://docs.google.com/spreadsheets/d/1d8Hzm_QCJnDef8NF_dVYBZLjLjFI3Fl8Yt14m8Zhn8Y/edit?usp=sharing","Katie Gallagher")</f>
        <v>Katie Gallagher</v>
      </c>
      <c r="B25" s="13">
        <v>10.0</v>
      </c>
      <c r="C25" s="13">
        <v>39.0</v>
      </c>
      <c r="D25" s="13">
        <v>14.0</v>
      </c>
      <c r="E25" s="16">
        <v>2.79</v>
      </c>
      <c r="F25" s="17">
        <v>0.0913</v>
      </c>
      <c r="G25" s="13">
        <v>39.0</v>
      </c>
      <c r="H25" s="13">
        <v>1.0</v>
      </c>
      <c r="I25" s="13" t="s">
        <v>42</v>
      </c>
      <c r="J25" s="13" t="s">
        <v>26</v>
      </c>
      <c r="K25" s="13" t="s">
        <v>39</v>
      </c>
      <c r="L25" s="13">
        <v>9.0</v>
      </c>
      <c r="M25" s="13">
        <v>7.0</v>
      </c>
      <c r="N25" s="13" t="s">
        <v>23</v>
      </c>
      <c r="O25" s="13">
        <v>9.0</v>
      </c>
      <c r="P25" s="13" t="s">
        <v>23</v>
      </c>
      <c r="Q25" s="13" t="s">
        <v>23</v>
      </c>
      <c r="R25" s="13"/>
      <c r="S25" s="13" t="s">
        <v>23</v>
      </c>
      <c r="T25" s="13" t="s">
        <v>23</v>
      </c>
      <c r="U25" s="13" t="s">
        <v>23</v>
      </c>
    </row>
    <row r="26">
      <c r="A26" s="9" t="str">
        <f>HYPERLINK("https://docs.google.com/spreadsheets/d/1nRsx7fR5xbH1eAbI_vBDvqXOgh7mXIwmZNhzrVL6oGM/edit?usp=sharing","Neleh Dennis")</f>
        <v>Neleh Dennis</v>
      </c>
      <c r="B26" s="10">
        <v>4.0</v>
      </c>
      <c r="C26" s="10">
        <v>38.0</v>
      </c>
      <c r="D26" s="10">
        <v>13.0</v>
      </c>
      <c r="E26" s="11">
        <v>2.92</v>
      </c>
      <c r="F26" s="12">
        <v>0.0795</v>
      </c>
      <c r="G26" s="10">
        <v>39.0</v>
      </c>
      <c r="H26" s="10">
        <v>1.0</v>
      </c>
      <c r="I26" s="10" t="s">
        <v>9</v>
      </c>
      <c r="J26" s="10" t="s">
        <v>26</v>
      </c>
      <c r="K26" s="10" t="s">
        <v>27</v>
      </c>
      <c r="L26" s="13">
        <v>5.0</v>
      </c>
      <c r="M26" s="13">
        <v>4.0</v>
      </c>
      <c r="N26" s="13">
        <v>1.0</v>
      </c>
      <c r="O26" s="13">
        <v>11.0</v>
      </c>
      <c r="P26" s="10" t="s">
        <v>23</v>
      </c>
      <c r="Q26" s="10" t="s">
        <v>23</v>
      </c>
      <c r="R26" s="10"/>
      <c r="S26" s="10" t="s">
        <v>23</v>
      </c>
      <c r="T26" s="10"/>
      <c r="U26" s="10" t="s">
        <v>23</v>
      </c>
    </row>
    <row r="27">
      <c r="A27" s="9" t="str">
        <f>HYPERLINK("https://docs.google.com/spreadsheets/d/1EZNO7rY3X3GsqJDX9iY8RpZJJDJ-K4nm_Mxm1g397N0/edit?usp=sharing","Kim Johnson")</f>
        <v>Kim Johnson</v>
      </c>
      <c r="B27" s="10">
        <v>3.0</v>
      </c>
      <c r="C27" s="10">
        <v>38.0</v>
      </c>
      <c r="D27" s="10">
        <v>13.0</v>
      </c>
      <c r="E27" s="11">
        <v>2.92</v>
      </c>
      <c r="F27" s="12">
        <v>0.076</v>
      </c>
      <c r="G27" s="10">
        <v>39.0</v>
      </c>
      <c r="H27" s="10" t="s">
        <v>23</v>
      </c>
      <c r="I27" s="10" t="s">
        <v>9</v>
      </c>
      <c r="J27" s="10" t="s">
        <v>26</v>
      </c>
      <c r="K27" s="10" t="s">
        <v>27</v>
      </c>
      <c r="L27" s="13">
        <v>4.0</v>
      </c>
      <c r="M27" s="13">
        <v>3.0</v>
      </c>
      <c r="N27" s="13">
        <v>2.0</v>
      </c>
      <c r="O27" s="13">
        <v>12.0</v>
      </c>
      <c r="P27" s="10" t="s">
        <v>23</v>
      </c>
      <c r="Q27" s="10" t="s">
        <v>23</v>
      </c>
      <c r="R27" s="10"/>
      <c r="S27" s="10" t="s">
        <v>23</v>
      </c>
      <c r="T27" s="10"/>
      <c r="U27" s="10" t="s">
        <v>23</v>
      </c>
    </row>
    <row r="28">
      <c r="A28" s="9" t="str">
        <f>HYPERLINK("https://docs.google.com/spreadsheets/d/1v6gXy2rHfH0CkzT8zUZyZm6b-WimbnBspkh1B5hksu4/edit?usp=sharing","Chelsea Meissner")</f>
        <v>Chelsea Meissner</v>
      </c>
      <c r="B28" s="10">
        <v>24.0</v>
      </c>
      <c r="C28" s="10">
        <v>38.0</v>
      </c>
      <c r="D28" s="10">
        <v>14.0</v>
      </c>
      <c r="E28" s="11">
        <v>2.71</v>
      </c>
      <c r="F28" s="12">
        <v>0.0995</v>
      </c>
      <c r="G28" s="10">
        <v>39.0</v>
      </c>
      <c r="H28" s="10">
        <v>2.0</v>
      </c>
      <c r="I28" s="10" t="s">
        <v>9</v>
      </c>
      <c r="J28" s="10" t="s">
        <v>33</v>
      </c>
      <c r="K28" s="10" t="s">
        <v>34</v>
      </c>
      <c r="L28" s="13">
        <v>8.0</v>
      </c>
      <c r="M28" s="13">
        <v>3.0</v>
      </c>
      <c r="N28" s="13">
        <v>1.0</v>
      </c>
      <c r="O28" s="13">
        <v>11.0</v>
      </c>
      <c r="P28" s="10" t="s">
        <v>23</v>
      </c>
      <c r="Q28" s="10" t="s">
        <v>23</v>
      </c>
      <c r="R28" s="10"/>
      <c r="S28" s="10" t="s">
        <v>23</v>
      </c>
      <c r="T28" s="10"/>
      <c r="U28" s="10" t="s">
        <v>23</v>
      </c>
    </row>
    <row r="29">
      <c r="A29" s="18" t="s">
        <v>74</v>
      </c>
      <c r="B29" s="13">
        <v>40.0</v>
      </c>
      <c r="C29" s="13">
        <v>38.0</v>
      </c>
      <c r="D29" s="13">
        <v>15.0</v>
      </c>
      <c r="E29" s="16">
        <v>2.53</v>
      </c>
      <c r="F29" s="17">
        <v>0.0663</v>
      </c>
      <c r="G29" s="13" t="s">
        <v>75</v>
      </c>
      <c r="H29" s="13">
        <v>4.0</v>
      </c>
      <c r="I29" s="13" t="s">
        <v>16</v>
      </c>
      <c r="J29" s="13" t="s">
        <v>31</v>
      </c>
      <c r="K29" s="13" t="s">
        <v>39</v>
      </c>
      <c r="L29" s="13" t="s">
        <v>23</v>
      </c>
      <c r="M29" s="13" t="s">
        <v>23</v>
      </c>
      <c r="N29" s="13">
        <v>1.0</v>
      </c>
      <c r="O29" s="13">
        <v>5.0</v>
      </c>
      <c r="P29" s="13" t="s">
        <v>23</v>
      </c>
      <c r="Q29" s="13" t="s">
        <v>23</v>
      </c>
      <c r="R29" s="13">
        <v>1.0</v>
      </c>
      <c r="S29" s="13">
        <v>2.0</v>
      </c>
      <c r="T29" s="13">
        <v>7.0</v>
      </c>
      <c r="U29" s="13" t="s">
        <v>23</v>
      </c>
    </row>
    <row r="30">
      <c r="A30" s="18" t="s">
        <v>79</v>
      </c>
      <c r="B30" s="13">
        <v>40.0</v>
      </c>
      <c r="C30" s="13">
        <v>37.0</v>
      </c>
      <c r="D30" s="13">
        <v>15.0</v>
      </c>
      <c r="E30" s="16">
        <v>2.47</v>
      </c>
      <c r="F30" s="17">
        <v>0.0646</v>
      </c>
      <c r="G30" s="13">
        <v>39.0</v>
      </c>
      <c r="H30" s="13">
        <v>3.0</v>
      </c>
      <c r="I30" s="13" t="s">
        <v>9</v>
      </c>
      <c r="J30" s="13" t="s">
        <v>33</v>
      </c>
      <c r="K30" s="13" t="s">
        <v>62</v>
      </c>
      <c r="L30" s="13">
        <v>2.0</v>
      </c>
      <c r="M30" s="13">
        <v>3.0</v>
      </c>
      <c r="N30" s="13">
        <v>2.0</v>
      </c>
      <c r="O30" s="13">
        <v>16.0</v>
      </c>
      <c r="P30" s="13" t="s">
        <v>23</v>
      </c>
      <c r="Q30" s="13" t="s">
        <v>23</v>
      </c>
      <c r="R30" s="13" t="s">
        <v>23</v>
      </c>
      <c r="S30" s="13" t="s">
        <v>23</v>
      </c>
      <c r="T30" s="13">
        <v>5.0</v>
      </c>
      <c r="U30" s="13" t="s">
        <v>23</v>
      </c>
    </row>
    <row r="31">
      <c r="A31" s="35" t="str">
        <f>HYPERLINK("https://docs.google.com/spreadsheets/d/1y7awzkkkaNlh7XKjc44AGriTvqB9H3pVz8cFLyIYdbo/edit?usp=sharing","Woo Hwang")</f>
        <v>Woo Hwang</v>
      </c>
      <c r="B31" s="36">
        <v>28.0</v>
      </c>
      <c r="C31" s="36">
        <v>36.0</v>
      </c>
      <c r="D31" s="36">
        <v>14.0</v>
      </c>
      <c r="E31" s="37">
        <v>2.57</v>
      </c>
      <c r="F31" s="38">
        <v>0.0784</v>
      </c>
      <c r="G31" s="36">
        <v>39.0</v>
      </c>
      <c r="H31" s="36">
        <v>2.0</v>
      </c>
      <c r="I31" s="36" t="s">
        <v>9</v>
      </c>
      <c r="J31" s="36" t="s">
        <v>26</v>
      </c>
      <c r="K31" s="36" t="s">
        <v>32</v>
      </c>
      <c r="L31" s="39">
        <v>9.0</v>
      </c>
      <c r="M31" s="39">
        <v>5.0</v>
      </c>
      <c r="N31" s="39">
        <v>2.0</v>
      </c>
      <c r="O31" s="39">
        <v>11.0</v>
      </c>
      <c r="P31" s="36" t="s">
        <v>23</v>
      </c>
      <c r="Q31" s="36" t="s">
        <v>23</v>
      </c>
      <c r="R31" s="36"/>
      <c r="S31" s="36" t="s">
        <v>23</v>
      </c>
      <c r="T31" s="36"/>
      <c r="U31" s="36" t="s">
        <v>23</v>
      </c>
    </row>
    <row r="32">
      <c r="A32" s="9" t="str">
        <f>HYPERLINK("https://docs.google.com/spreadsheets/d/1nYlVL4RxK2ZUH-a4MfKCalHyEjDRWz2ZumhyoaYsjTE/edit?usp=sharing","Chase Rice")</f>
        <v>Chase Rice</v>
      </c>
      <c r="B32" s="10">
        <v>21.0</v>
      </c>
      <c r="C32" s="10">
        <v>36.0</v>
      </c>
      <c r="D32" s="10">
        <v>14.0</v>
      </c>
      <c r="E32" s="11">
        <v>2.57</v>
      </c>
      <c r="F32" s="12">
        <v>0.0865</v>
      </c>
      <c r="G32" s="10">
        <v>39.0</v>
      </c>
      <c r="H32" s="10">
        <v>2.0</v>
      </c>
      <c r="I32" s="10" t="s">
        <v>9</v>
      </c>
      <c r="J32" s="10" t="s">
        <v>31</v>
      </c>
      <c r="K32" s="10" t="s">
        <v>39</v>
      </c>
      <c r="L32" s="13">
        <v>9.0</v>
      </c>
      <c r="M32" s="13">
        <v>4.0</v>
      </c>
      <c r="N32" s="13" t="s">
        <v>23</v>
      </c>
      <c r="O32" s="13">
        <v>11.0</v>
      </c>
      <c r="P32" s="10" t="s">
        <v>23</v>
      </c>
      <c r="Q32" s="10" t="s">
        <v>23</v>
      </c>
      <c r="R32" s="10"/>
      <c r="S32" s="10">
        <v>1.0</v>
      </c>
      <c r="T32" s="10"/>
      <c r="U32" s="10" t="s">
        <v>23</v>
      </c>
    </row>
    <row r="33">
      <c r="A33" s="9" t="str">
        <f>HYPERLINK("https://docs.google.com/spreadsheets/d/1LR80O0PvsOvoTuN5gHQd3Rls4b1rZmJd7EZ_DR2oRHs/edit?usp=sharing","Dawn Meehan")</f>
        <v>Dawn Meehan</v>
      </c>
      <c r="B33" s="10">
        <v>26.0</v>
      </c>
      <c r="C33" s="10">
        <v>35.0</v>
      </c>
      <c r="D33" s="10">
        <v>14.0</v>
      </c>
      <c r="E33" s="11">
        <v>2.5</v>
      </c>
      <c r="F33" s="12">
        <v>0.0847</v>
      </c>
      <c r="G33" s="10">
        <v>39.0</v>
      </c>
      <c r="H33" s="10">
        <v>3.0</v>
      </c>
      <c r="I33" s="10" t="s">
        <v>9</v>
      </c>
      <c r="J33" s="10" t="s">
        <v>50</v>
      </c>
      <c r="K33" s="10" t="s">
        <v>53</v>
      </c>
      <c r="L33" s="13">
        <v>8.0</v>
      </c>
      <c r="M33" s="13">
        <v>3.0</v>
      </c>
      <c r="N33" s="13">
        <v>1.0</v>
      </c>
      <c r="O33" s="13">
        <v>13.0</v>
      </c>
      <c r="P33" s="10" t="s">
        <v>23</v>
      </c>
      <c r="Q33" s="10" t="s">
        <v>23</v>
      </c>
      <c r="R33" s="10"/>
      <c r="S33" s="10" t="s">
        <v>23</v>
      </c>
      <c r="T33" s="10"/>
      <c r="U33" s="10" t="s">
        <v>23</v>
      </c>
    </row>
    <row r="34">
      <c r="A34" s="9" t="str">
        <f>HYPERLINK("https://docs.google.com/spreadsheets/d/1X-5lK1sJCBpvE08rC1VdSsGvayqyrC62cK7W45Q4XX8/edit?usp=sharing","Monica Culpepper")</f>
        <v>Monica Culpepper</v>
      </c>
      <c r="B34" s="10">
        <v>27.0</v>
      </c>
      <c r="C34" s="10">
        <v>34.0</v>
      </c>
      <c r="D34" s="10">
        <v>14.0</v>
      </c>
      <c r="E34" s="11">
        <v>2.43</v>
      </c>
      <c r="F34" s="12">
        <v>0.0785</v>
      </c>
      <c r="G34" s="10">
        <v>39.0</v>
      </c>
      <c r="H34" s="10">
        <v>4.0</v>
      </c>
      <c r="I34" s="10" t="s">
        <v>9</v>
      </c>
      <c r="J34" s="10" t="s">
        <v>31</v>
      </c>
      <c r="K34" s="10" t="s">
        <v>39</v>
      </c>
      <c r="L34" s="13">
        <v>6.0</v>
      </c>
      <c r="M34" s="13">
        <v>4.0</v>
      </c>
      <c r="N34" s="13">
        <v>3.0</v>
      </c>
      <c r="O34" s="13">
        <v>13.0</v>
      </c>
      <c r="P34" s="13" t="s">
        <v>23</v>
      </c>
      <c r="Q34" s="13" t="s">
        <v>23</v>
      </c>
      <c r="R34" s="13"/>
      <c r="S34" s="10" t="s">
        <v>23</v>
      </c>
      <c r="T34" s="10"/>
      <c r="U34" s="10" t="s">
        <v>23</v>
      </c>
    </row>
    <row r="35">
      <c r="A35" s="9" t="str">
        <f>HYPERLINK("https://docs.google.com/spreadsheets/d/1EsGJrNyA7pLwFUlZ6WfOkbnPz58Cle9N9c6epQSDRVA/edit?usp=sharing","Tasha Fox")</f>
        <v>Tasha Fox</v>
      </c>
      <c r="B35" s="10">
        <v>31.0</v>
      </c>
      <c r="C35" s="10">
        <v>32.0</v>
      </c>
      <c r="D35" s="10">
        <v>14.0</v>
      </c>
      <c r="E35" s="11">
        <v>2.29</v>
      </c>
      <c r="F35" s="12">
        <v>0.0731</v>
      </c>
      <c r="G35" s="10">
        <v>39.0</v>
      </c>
      <c r="H35" s="10">
        <v>4.0</v>
      </c>
      <c r="I35" s="10" t="s">
        <v>9</v>
      </c>
      <c r="J35" s="10" t="s">
        <v>50</v>
      </c>
      <c r="K35" s="10" t="s">
        <v>53</v>
      </c>
      <c r="L35" s="13">
        <v>8.0</v>
      </c>
      <c r="M35" s="13">
        <v>4.0</v>
      </c>
      <c r="N35" s="13" t="s">
        <v>23</v>
      </c>
      <c r="O35" s="13">
        <v>13.0</v>
      </c>
      <c r="P35" s="10" t="s">
        <v>23</v>
      </c>
      <c r="Q35" s="10" t="s">
        <v>23</v>
      </c>
      <c r="R35" s="10"/>
      <c r="S35" s="10" t="s">
        <v>23</v>
      </c>
      <c r="T35" s="10"/>
      <c r="U35" s="10" t="s">
        <v>23</v>
      </c>
    </row>
    <row r="36">
      <c r="A36" s="9" t="str">
        <f>HYPERLINK("https://docs.google.com/spreadsheets/d/1iNFGyKFcJm-tPp7Dg94yi7mHCDbJssmAD_PiaDM_tAE/edit?usp=sharing","Missy Payne")</f>
        <v>Missy Payne</v>
      </c>
      <c r="B36" s="10">
        <v>29.0</v>
      </c>
      <c r="C36" s="10">
        <v>31.0</v>
      </c>
      <c r="D36" s="10">
        <v>14.0</v>
      </c>
      <c r="E36" s="11">
        <v>2.21</v>
      </c>
      <c r="F36" s="12">
        <v>0.0697</v>
      </c>
      <c r="G36" s="10">
        <v>39.0</v>
      </c>
      <c r="H36" s="10">
        <v>1.0</v>
      </c>
      <c r="I36" s="10" t="s">
        <v>9</v>
      </c>
      <c r="J36" s="10" t="s">
        <v>33</v>
      </c>
      <c r="K36" s="10" t="s">
        <v>34</v>
      </c>
      <c r="L36" s="23">
        <v>7.0</v>
      </c>
      <c r="M36" s="23">
        <v>3.0</v>
      </c>
      <c r="N36" s="23" t="s">
        <v>23</v>
      </c>
      <c r="O36" s="23">
        <v>12.0</v>
      </c>
      <c r="P36" s="23" t="s">
        <v>23</v>
      </c>
      <c r="Q36" s="23" t="s">
        <v>23</v>
      </c>
      <c r="R36" s="23"/>
      <c r="S36" s="13" t="s">
        <v>23</v>
      </c>
      <c r="T36" s="13"/>
      <c r="U36" s="10" t="s">
        <v>23</v>
      </c>
    </row>
    <row r="37">
      <c r="A37" s="9" t="str">
        <f>HYPERLINK("https://docs.google.com/spreadsheets/d/1nYlVL4RxK2ZUH-a4MfKCalHyEjDRWz2ZumhyoaYsjTE/edit?usp=sharing","Matthew ""Sash"" Lenahan")</f>
        <v>Matthew "Sash" Lenahan</v>
      </c>
      <c r="B37" s="10">
        <v>21.0</v>
      </c>
      <c r="C37" s="10">
        <v>31.0</v>
      </c>
      <c r="D37" s="10">
        <v>14.0</v>
      </c>
      <c r="E37" s="11">
        <v>2.21</v>
      </c>
      <c r="F37" s="12">
        <v>0.0745</v>
      </c>
      <c r="G37" s="10">
        <v>39.0</v>
      </c>
      <c r="H37" s="10">
        <v>3.0</v>
      </c>
      <c r="I37" s="10" t="s">
        <v>9</v>
      </c>
      <c r="J37" s="10" t="s">
        <v>33</v>
      </c>
      <c r="K37" s="10" t="s">
        <v>62</v>
      </c>
      <c r="L37" s="13">
        <v>7.0</v>
      </c>
      <c r="M37" s="13">
        <v>4.0</v>
      </c>
      <c r="N37" s="13">
        <v>1.0</v>
      </c>
      <c r="O37" s="13">
        <v>11.0</v>
      </c>
      <c r="P37" s="10" t="s">
        <v>23</v>
      </c>
      <c r="Q37" s="10" t="s">
        <v>23</v>
      </c>
      <c r="R37" s="10"/>
      <c r="S37" s="10">
        <v>1.0</v>
      </c>
      <c r="T37" s="10"/>
      <c r="U37" s="10" t="s">
        <v>23</v>
      </c>
    </row>
    <row r="38">
      <c r="A38" s="9" t="str">
        <f>HYPERLINK("https://docs.google.com/spreadsheets/d/1iNFGyKFcJm-tPp7Dg94yi7mHCDbJssmAD_PiaDM_tAE/edit?usp=sharing","Jaclyn Schultz")</f>
        <v>Jaclyn Schultz</v>
      </c>
      <c r="B38" s="10">
        <v>29.0</v>
      </c>
      <c r="C38" s="10">
        <v>31.0</v>
      </c>
      <c r="D38" s="10">
        <v>14.0</v>
      </c>
      <c r="E38" s="11">
        <v>2.21</v>
      </c>
      <c r="F38" s="12">
        <v>0.0697</v>
      </c>
      <c r="G38" s="10">
        <v>39.0</v>
      </c>
      <c r="H38" s="10">
        <v>4.0</v>
      </c>
      <c r="I38" s="10" t="s">
        <v>9</v>
      </c>
      <c r="J38" s="10" t="s">
        <v>26</v>
      </c>
      <c r="K38" s="10" t="s">
        <v>32</v>
      </c>
      <c r="L38" s="23">
        <v>5.0</v>
      </c>
      <c r="M38" s="23">
        <v>1.0</v>
      </c>
      <c r="N38" s="23">
        <v>1.0</v>
      </c>
      <c r="O38" s="23">
        <v>14.0</v>
      </c>
      <c r="P38" s="23">
        <v>2.0</v>
      </c>
      <c r="Q38" s="23" t="s">
        <v>23</v>
      </c>
      <c r="R38" s="23"/>
      <c r="S38" s="13" t="s">
        <v>23</v>
      </c>
      <c r="T38" s="13"/>
      <c r="U38" s="10" t="s">
        <v>23</v>
      </c>
    </row>
    <row r="39">
      <c r="A39" s="15" t="str">
        <f>HYPERLINK("https://docs.google.com/spreadsheets/d/1tElnwN2HVf964gGw8Ei53RyfjarS40wkDY3zivAPWp0/edit?usp=sharing","Brad Culpepper")</f>
        <v>Brad Culpepper</v>
      </c>
      <c r="B39" s="13">
        <v>34.0</v>
      </c>
      <c r="C39" s="13">
        <v>31.0</v>
      </c>
      <c r="D39" s="13">
        <v>14.0</v>
      </c>
      <c r="E39" s="16">
        <v>2.21</v>
      </c>
      <c r="F39" s="17">
        <v>0.0752</v>
      </c>
      <c r="G39" s="13">
        <v>39.0</v>
      </c>
      <c r="H39" s="13">
        <v>1.0</v>
      </c>
      <c r="I39" s="13" t="s">
        <v>9</v>
      </c>
      <c r="J39" s="13" t="s">
        <v>31</v>
      </c>
      <c r="K39" s="13" t="s">
        <v>39</v>
      </c>
      <c r="L39" s="13">
        <v>7.0</v>
      </c>
      <c r="M39" s="13">
        <v>5.0</v>
      </c>
      <c r="N39" s="13">
        <v>5.0</v>
      </c>
      <c r="O39" s="13">
        <v>13.0</v>
      </c>
      <c r="P39" s="13" t="s">
        <v>23</v>
      </c>
      <c r="Q39" s="13" t="s">
        <v>23</v>
      </c>
      <c r="R39" s="13"/>
      <c r="S39" s="13" t="s">
        <v>23</v>
      </c>
      <c r="T39" s="13" t="s">
        <v>23</v>
      </c>
      <c r="U39" s="13" t="s">
        <v>23</v>
      </c>
    </row>
    <row r="40">
      <c r="A40" s="15" t="str">
        <f>HYPERLINK("https://docs.google.com/spreadsheets/d/1ZajpFwOHrMmupCcACeLhLTzPOwhTrjKRR1FJtUgeLww/edit?usp=sharing","Hannah Shapiro")</f>
        <v>Hannah Shapiro</v>
      </c>
      <c r="B40" s="13">
        <v>33.0</v>
      </c>
      <c r="C40" s="13">
        <v>29.0</v>
      </c>
      <c r="D40" s="13">
        <v>14.0</v>
      </c>
      <c r="E40" s="16">
        <v>2.07</v>
      </c>
      <c r="F40" s="17">
        <v>0.0667</v>
      </c>
      <c r="G40" s="13">
        <v>39.0</v>
      </c>
      <c r="H40" s="13">
        <v>3.0</v>
      </c>
      <c r="I40" s="13" t="s">
        <v>9</v>
      </c>
      <c r="J40" s="13" t="s">
        <v>50</v>
      </c>
      <c r="K40" s="13" t="s">
        <v>53</v>
      </c>
      <c r="L40" s="13">
        <v>6.0</v>
      </c>
      <c r="M40" s="13">
        <v>5.0</v>
      </c>
      <c r="N40" s="13" t="s">
        <v>23</v>
      </c>
      <c r="O40" s="13">
        <v>13.0</v>
      </c>
      <c r="P40" s="13" t="s">
        <v>23</v>
      </c>
      <c r="Q40" s="13" t="s">
        <v>23</v>
      </c>
      <c r="R40" s="13"/>
      <c r="S40" s="13" t="s">
        <v>23</v>
      </c>
      <c r="T40" s="13" t="s">
        <v>23</v>
      </c>
      <c r="U40" s="13" t="s">
        <v>23</v>
      </c>
    </row>
    <row r="41">
      <c r="A41" s="15" t="str">
        <f>HYPERLINK("https://docs.google.com/spreadsheets/d/1ZajpFwOHrMmupCcACeLhLTzPOwhTrjKRR1FJtUgeLww/edit?usp=sharing","Ken McNickle")</f>
        <v>Ken McNickle</v>
      </c>
      <c r="B41" s="13">
        <v>33.0</v>
      </c>
      <c r="C41" s="13">
        <v>27.0</v>
      </c>
      <c r="D41" s="13">
        <v>14.0</v>
      </c>
      <c r="E41" s="16">
        <v>1.93</v>
      </c>
      <c r="F41" s="17">
        <v>0.0621</v>
      </c>
      <c r="G41" s="13">
        <v>39.0</v>
      </c>
      <c r="H41" s="13">
        <v>4.0</v>
      </c>
      <c r="I41" s="13" t="s">
        <v>9</v>
      </c>
      <c r="J41" s="13" t="s">
        <v>50</v>
      </c>
      <c r="K41" s="13" t="s">
        <v>53</v>
      </c>
      <c r="L41" s="13">
        <v>4.0</v>
      </c>
      <c r="M41" s="13">
        <v>3.0</v>
      </c>
      <c r="N41" s="13">
        <v>5.0</v>
      </c>
      <c r="O41" s="13">
        <v>15.0</v>
      </c>
      <c r="P41" s="13" t="s">
        <v>23</v>
      </c>
      <c r="Q41" s="13" t="s">
        <v>23</v>
      </c>
      <c r="R41" s="13"/>
      <c r="S41" s="13" t="s">
        <v>23</v>
      </c>
      <c r="T41" s="13">
        <v>1.0</v>
      </c>
      <c r="U41" s="13" t="s">
        <v>23</v>
      </c>
    </row>
    <row r="42">
      <c r="A42" s="15" t="str">
        <f>HYPERLINK("https://docs.google.com/spreadsheets/d/1Hf_PbZTXAuooCoiF7c3Bz80t5-zCjdWHF8wQ_HyodNs/edit?usp=sharing","Laurel Johnson")</f>
        <v>Laurel Johnson</v>
      </c>
      <c r="B42" s="13">
        <v>36.0</v>
      </c>
      <c r="C42" s="13">
        <v>27.0</v>
      </c>
      <c r="D42" s="13">
        <v>14.0</v>
      </c>
      <c r="E42" s="16">
        <v>1.93</v>
      </c>
      <c r="F42" s="17">
        <v>0.0687</v>
      </c>
      <c r="G42" s="13">
        <v>39.0</v>
      </c>
      <c r="H42" s="13">
        <v>4.0</v>
      </c>
      <c r="I42" s="13" t="s">
        <v>9</v>
      </c>
      <c r="J42" s="13" t="s">
        <v>33</v>
      </c>
      <c r="K42" s="13" t="s">
        <v>62</v>
      </c>
      <c r="L42" s="13">
        <v>7.0</v>
      </c>
      <c r="M42" s="13">
        <v>4.0</v>
      </c>
      <c r="N42" s="13">
        <v>1.0</v>
      </c>
      <c r="O42" s="13">
        <v>13.0</v>
      </c>
      <c r="P42" s="13" t="s">
        <v>23</v>
      </c>
      <c r="Q42" s="13" t="s">
        <v>23</v>
      </c>
      <c r="R42" s="13"/>
      <c r="S42" s="13" t="s">
        <v>23</v>
      </c>
      <c r="T42" s="13" t="s">
        <v>23</v>
      </c>
      <c r="U42" s="13" t="s">
        <v>23</v>
      </c>
    </row>
    <row r="43">
      <c r="A43" s="9" t="str">
        <f>HYPERLINK("https://docs.google.com/spreadsheets/d/1X-5lK1sJCBpvE08rC1VdSsGvayqyrC62cK7W45Q4XX8/edit?usp=sharing","Gervase Peterson")</f>
        <v>Gervase Peterson</v>
      </c>
      <c r="B43" s="10">
        <v>27.0</v>
      </c>
      <c r="C43" s="10">
        <v>25.0</v>
      </c>
      <c r="D43" s="10">
        <v>14.0</v>
      </c>
      <c r="E43" s="11">
        <v>1.79</v>
      </c>
      <c r="F43" s="12">
        <v>0.0577</v>
      </c>
      <c r="G43" s="10">
        <v>39.0</v>
      </c>
      <c r="H43" s="10">
        <v>5.0</v>
      </c>
      <c r="I43" s="10" t="s">
        <v>9</v>
      </c>
      <c r="J43" s="10" t="s">
        <v>33</v>
      </c>
      <c r="K43" s="10" t="s">
        <v>62</v>
      </c>
      <c r="L43" s="13">
        <v>9.0</v>
      </c>
      <c r="M43" s="13">
        <v>6.0</v>
      </c>
      <c r="N43" s="13">
        <v>1.0</v>
      </c>
      <c r="O43" s="13">
        <v>11.0</v>
      </c>
      <c r="P43" s="13" t="s">
        <v>23</v>
      </c>
      <c r="Q43" s="13" t="s">
        <v>23</v>
      </c>
      <c r="R43" s="13"/>
      <c r="S43" s="10" t="s">
        <v>23</v>
      </c>
      <c r="T43" s="10"/>
      <c r="U43" s="10" t="s">
        <v>23</v>
      </c>
    </row>
    <row r="44">
      <c r="A44" s="9" t="str">
        <f>HYPERLINK("https://docs.google.com/spreadsheets/d/1OvIOVR4AMBMcafVt9o6KEur-eEFhew1kw_KUv3DV3Xs/edit?usp=sharing","Albert Destrade")</f>
        <v>Albert Destrade</v>
      </c>
      <c r="B44" s="10">
        <v>23.0</v>
      </c>
      <c r="C44" s="10">
        <v>25.0</v>
      </c>
      <c r="D44" s="10">
        <v>14.0</v>
      </c>
      <c r="E44" s="11">
        <v>1.79</v>
      </c>
      <c r="F44" s="12">
        <v>0.0623</v>
      </c>
      <c r="G44" s="10">
        <v>39.0</v>
      </c>
      <c r="H44" s="10">
        <v>6.0</v>
      </c>
      <c r="I44" s="10" t="s">
        <v>9</v>
      </c>
      <c r="J44" s="10" t="s">
        <v>33</v>
      </c>
      <c r="K44" s="10" t="s">
        <v>34</v>
      </c>
      <c r="L44" s="13">
        <v>5.0</v>
      </c>
      <c r="M44" s="13">
        <v>4.0</v>
      </c>
      <c r="N44" s="13">
        <v>1.0</v>
      </c>
      <c r="O44" s="13">
        <v>14.0</v>
      </c>
      <c r="P44" s="13" t="s">
        <v>23</v>
      </c>
      <c r="Q44" s="13" t="s">
        <v>23</v>
      </c>
      <c r="R44" s="13"/>
      <c r="S44" s="10" t="s">
        <v>23</v>
      </c>
      <c r="T44" s="10"/>
      <c r="U44" s="10" t="s">
        <v>23</v>
      </c>
    </row>
    <row r="45">
      <c r="A45" s="9" t="str">
        <f>HYPERLINK("https://docs.google.com/spreadsheets/d/1HA0vQC0CSnQtVc8u58vwNd3sIFCc79SKVqM1abMG1hI/edit?usp=sharing","Will Sims II")</f>
        <v>Will Sims II</v>
      </c>
      <c r="B45" s="10">
        <v>30.0</v>
      </c>
      <c r="C45" s="10">
        <v>24.0</v>
      </c>
      <c r="D45" s="10">
        <v>14.0</v>
      </c>
      <c r="E45" s="11">
        <v>1.71</v>
      </c>
      <c r="F45" s="12">
        <v>0.0525</v>
      </c>
      <c r="G45" s="10">
        <v>39.0</v>
      </c>
      <c r="H45" s="10">
        <v>4.0</v>
      </c>
      <c r="I45" s="10" t="s">
        <v>9</v>
      </c>
      <c r="J45" s="10" t="s">
        <v>50</v>
      </c>
      <c r="K45" s="10" t="s">
        <v>51</v>
      </c>
      <c r="L45" s="13">
        <v>8.0</v>
      </c>
      <c r="M45" s="13">
        <v>3.0</v>
      </c>
      <c r="N45" s="13" t="s">
        <v>23</v>
      </c>
      <c r="O45" s="13">
        <v>13.0</v>
      </c>
      <c r="P45" s="10" t="s">
        <v>23</v>
      </c>
      <c r="Q45" s="10" t="s">
        <v>23</v>
      </c>
      <c r="R45" s="10"/>
      <c r="S45" s="10" t="s">
        <v>23</v>
      </c>
      <c r="T45" s="10"/>
      <c r="U45" s="10" t="s">
        <v>23</v>
      </c>
    </row>
    <row r="46">
      <c r="A46" s="9" t="str">
        <f>HYPERLINK("https://docs.google.com/spreadsheets/d/1LR80O0PvsOvoTuN5gHQd3Rls4b1rZmJd7EZ_DR2oRHs/edit?usp=sharing","Sherri Biethman")</f>
        <v>Sherri Biethman</v>
      </c>
      <c r="B46" s="10">
        <v>26.0</v>
      </c>
      <c r="C46" s="10">
        <v>21.0</v>
      </c>
      <c r="D46" s="10">
        <v>14.0</v>
      </c>
      <c r="E46" s="11">
        <v>1.5</v>
      </c>
      <c r="F46" s="12">
        <v>0.0508</v>
      </c>
      <c r="G46" s="10">
        <v>39.0</v>
      </c>
      <c r="H46" s="10">
        <v>4.0</v>
      </c>
      <c r="I46" s="10" t="s">
        <v>9</v>
      </c>
      <c r="J46" s="10" t="s">
        <v>50</v>
      </c>
      <c r="K46" s="10" t="s">
        <v>53</v>
      </c>
      <c r="L46" s="13">
        <v>4.0</v>
      </c>
      <c r="M46" s="13">
        <v>4.0</v>
      </c>
      <c r="N46" s="13" t="s">
        <v>23</v>
      </c>
      <c r="O46" s="13">
        <v>12.0</v>
      </c>
      <c r="P46" s="10" t="s">
        <v>23</v>
      </c>
      <c r="Q46" s="10" t="s">
        <v>23</v>
      </c>
      <c r="R46" s="10"/>
      <c r="S46" s="10" t="s">
        <v>23</v>
      </c>
      <c r="T46" s="10"/>
      <c r="U46" s="10" t="s">
        <v>23</v>
      </c>
    </row>
    <row r="47">
      <c r="A47" s="15" t="str">
        <f>HYPERLINK("https://docs.google.com/spreadsheets/d/1tElnwN2HVf964gGw8Ei53RyfjarS40wkDY3zivAPWp0/edit?usp=sharing","Troyzan Robertson")</f>
        <v>Troyzan Robertson</v>
      </c>
      <c r="B47" s="13">
        <v>34.0</v>
      </c>
      <c r="C47" s="13">
        <v>14.0</v>
      </c>
      <c r="D47" s="13">
        <v>14.0</v>
      </c>
      <c r="E47" s="16">
        <v>1.0</v>
      </c>
      <c r="F47" s="17">
        <v>0.034</v>
      </c>
      <c r="G47" s="13">
        <v>39.0</v>
      </c>
      <c r="H47" s="13">
        <v>7.0</v>
      </c>
      <c r="I47" s="13" t="s">
        <v>9</v>
      </c>
      <c r="J47" s="13" t="s">
        <v>33</v>
      </c>
      <c r="K47" s="13" t="s">
        <v>62</v>
      </c>
      <c r="L47" s="13">
        <v>5.0</v>
      </c>
      <c r="M47" s="13">
        <v>5.0</v>
      </c>
      <c r="N47" s="13">
        <v>1.0</v>
      </c>
      <c r="O47" s="13">
        <v>13.0</v>
      </c>
      <c r="P47" s="13" t="s">
        <v>23</v>
      </c>
      <c r="Q47" s="13" t="s">
        <v>23</v>
      </c>
      <c r="R47" s="13"/>
      <c r="S47" s="13">
        <v>1.0</v>
      </c>
      <c r="T47" s="13" t="s">
        <v>23</v>
      </c>
      <c r="U47" s="13" t="s">
        <v>23</v>
      </c>
    </row>
    <row r="48">
      <c r="A48" s="9" t="str">
        <f>HYPERLINK("https://docs.google.com/spreadsheets/d/1CcEdjXKuhm6HmXecNbnscxpFab1HRQEjKSDga6QxqAU/edit?usp=sharing","Natalie Tenerelli")</f>
        <v>Natalie Tenerelli</v>
      </c>
      <c r="B48" s="10">
        <v>22.0</v>
      </c>
      <c r="C48" s="10">
        <v>14.0</v>
      </c>
      <c r="D48" s="10">
        <v>14.0</v>
      </c>
      <c r="E48" s="11">
        <v>1.0</v>
      </c>
      <c r="F48" s="12">
        <v>0.033</v>
      </c>
      <c r="G48" s="10">
        <v>39.0</v>
      </c>
      <c r="H48" s="10">
        <v>8.0</v>
      </c>
      <c r="I48" s="10" t="s">
        <v>9</v>
      </c>
      <c r="J48" s="10" t="s">
        <v>33</v>
      </c>
      <c r="K48" s="10" t="s">
        <v>34</v>
      </c>
      <c r="L48" s="13">
        <v>7.0</v>
      </c>
      <c r="M48" s="13">
        <v>4.0</v>
      </c>
      <c r="N48" s="13">
        <v>1.0</v>
      </c>
      <c r="O48" s="13">
        <v>14.0</v>
      </c>
      <c r="P48" s="13" t="s">
        <v>23</v>
      </c>
      <c r="Q48" s="13" t="s">
        <v>23</v>
      </c>
      <c r="R48" s="13"/>
      <c r="S48" s="10" t="s">
        <v>23</v>
      </c>
      <c r="T48" s="10"/>
      <c r="U48" s="10" t="s">
        <v>23</v>
      </c>
    </row>
    <row r="49">
      <c r="B49" s="28"/>
      <c r="C49" s="28"/>
      <c r="D49" s="28"/>
      <c r="E49" s="29"/>
      <c r="F49" s="29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>
      <c r="B50" s="28"/>
      <c r="C50" s="28"/>
      <c r="D50" s="28"/>
      <c r="E50" s="29"/>
      <c r="F50" s="29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</row>
    <row r="51">
      <c r="B51" s="28"/>
      <c r="C51" s="28"/>
      <c r="D51" s="28"/>
      <c r="E51" s="29"/>
      <c r="F51" s="29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</row>
    <row r="52">
      <c r="B52" s="28"/>
      <c r="C52" s="28"/>
      <c r="D52" s="28"/>
      <c r="E52" s="29"/>
      <c r="F52" s="29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</row>
    <row r="53">
      <c r="B53" s="28"/>
      <c r="C53" s="28"/>
      <c r="D53" s="28"/>
      <c r="E53" s="29"/>
      <c r="F53" s="29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</row>
    <row r="54">
      <c r="B54" s="28"/>
      <c r="C54" s="28"/>
      <c r="D54" s="28"/>
      <c r="E54" s="29"/>
      <c r="F54" s="29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</row>
    <row r="55">
      <c r="B55" s="28"/>
      <c r="C55" s="28"/>
      <c r="D55" s="28"/>
      <c r="E55" s="29"/>
      <c r="F55" s="29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</row>
    <row r="56">
      <c r="B56" s="28"/>
      <c r="C56" s="28"/>
      <c r="D56" s="28"/>
      <c r="E56" s="29"/>
      <c r="F56" s="29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</row>
    <row r="57">
      <c r="B57" s="28"/>
      <c r="C57" s="28"/>
      <c r="D57" s="28"/>
      <c r="E57" s="29"/>
      <c r="F57" s="29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</row>
    <row r="58">
      <c r="B58" s="28"/>
      <c r="C58" s="28"/>
      <c r="D58" s="28"/>
      <c r="E58" s="29"/>
      <c r="F58" s="29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</row>
    <row r="59">
      <c r="B59" s="28"/>
      <c r="C59" s="28"/>
      <c r="D59" s="28"/>
      <c r="E59" s="29"/>
      <c r="F59" s="29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</row>
    <row r="60">
      <c r="B60" s="28"/>
      <c r="C60" s="28"/>
      <c r="D60" s="28"/>
      <c r="E60" s="29"/>
      <c r="F60" s="29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</row>
    <row r="61">
      <c r="B61" s="28"/>
      <c r="C61" s="28"/>
      <c r="D61" s="28"/>
      <c r="E61" s="29"/>
      <c r="F61" s="29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</row>
    <row r="62">
      <c r="B62" s="28"/>
      <c r="C62" s="28"/>
      <c r="D62" s="28"/>
      <c r="E62" s="29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</row>
    <row r="63">
      <c r="B63" s="28"/>
      <c r="C63" s="28"/>
      <c r="D63" s="28"/>
      <c r="E63" s="29"/>
      <c r="F63" s="29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</row>
    <row r="64">
      <c r="B64" s="28"/>
      <c r="C64" s="28"/>
      <c r="D64" s="28"/>
      <c r="E64" s="29"/>
      <c r="F64" s="29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</row>
    <row r="65">
      <c r="B65" s="28"/>
      <c r="C65" s="28"/>
      <c r="D65" s="28"/>
      <c r="E65" s="29"/>
      <c r="F65" s="29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</row>
    <row r="66">
      <c r="B66" s="28"/>
      <c r="C66" s="28"/>
      <c r="D66" s="28"/>
      <c r="E66" s="29"/>
      <c r="F66" s="29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</row>
    <row r="67">
      <c r="B67" s="28"/>
      <c r="C67" s="28"/>
      <c r="D67" s="28"/>
      <c r="E67" s="29"/>
      <c r="F67" s="29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</row>
    <row r="68">
      <c r="B68" s="28"/>
      <c r="C68" s="28"/>
      <c r="D68" s="28"/>
      <c r="E68" s="29"/>
      <c r="F68" s="29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</row>
    <row r="69">
      <c r="B69" s="28"/>
      <c r="C69" s="28"/>
      <c r="D69" s="28"/>
      <c r="E69" s="29"/>
      <c r="F69" s="29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</row>
    <row r="70">
      <c r="B70" s="28"/>
      <c r="C70" s="28"/>
      <c r="D70" s="28"/>
      <c r="E70" s="29"/>
      <c r="F70" s="29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</row>
    <row r="71">
      <c r="B71" s="28"/>
      <c r="C71" s="28"/>
      <c r="D71" s="28"/>
      <c r="E71" s="29"/>
      <c r="F71" s="29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</row>
    <row r="72">
      <c r="B72" s="28"/>
      <c r="C72" s="28"/>
      <c r="D72" s="28"/>
      <c r="E72" s="29"/>
      <c r="F72" s="29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</row>
    <row r="73">
      <c r="B73" s="28"/>
      <c r="C73" s="28"/>
      <c r="D73" s="28"/>
      <c r="E73" s="29"/>
      <c r="F73" s="29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</row>
    <row r="74">
      <c r="B74" s="28"/>
      <c r="C74" s="28"/>
      <c r="D74" s="28"/>
      <c r="E74" s="29"/>
      <c r="F74" s="29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</row>
    <row r="75">
      <c r="B75" s="28"/>
      <c r="C75" s="28"/>
      <c r="D75" s="28"/>
      <c r="E75" s="29"/>
      <c r="F75" s="29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</row>
    <row r="76">
      <c r="B76" s="28"/>
      <c r="C76" s="28"/>
      <c r="D76" s="28"/>
      <c r="E76" s="29"/>
      <c r="F76" s="29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</row>
    <row r="77">
      <c r="B77" s="28"/>
      <c r="C77" s="28"/>
      <c r="D77" s="28"/>
      <c r="E77" s="29"/>
      <c r="F77" s="29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</row>
    <row r="78">
      <c r="B78" s="28"/>
      <c r="C78" s="28"/>
      <c r="D78" s="28"/>
      <c r="E78" s="29"/>
      <c r="F78" s="29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</row>
    <row r="79">
      <c r="B79" s="28"/>
      <c r="C79" s="28"/>
      <c r="D79" s="28"/>
      <c r="E79" s="29"/>
      <c r="F79" s="29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</row>
    <row r="80">
      <c r="B80" s="28"/>
      <c r="C80" s="28"/>
      <c r="D80" s="28"/>
      <c r="E80" s="29"/>
      <c r="F80" s="29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</row>
    <row r="81">
      <c r="B81" s="28"/>
      <c r="C81" s="28"/>
      <c r="D81" s="28"/>
      <c r="E81" s="29"/>
      <c r="F81" s="29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</row>
    <row r="82">
      <c r="B82" s="28"/>
      <c r="C82" s="28"/>
      <c r="D82" s="28"/>
      <c r="E82" s="29"/>
      <c r="F82" s="29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</row>
    <row r="83">
      <c r="B83" s="28"/>
      <c r="C83" s="28"/>
      <c r="D83" s="28"/>
      <c r="E83" s="29"/>
      <c r="F83" s="29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</row>
    <row r="84">
      <c r="B84" s="28"/>
      <c r="C84" s="28"/>
      <c r="D84" s="28"/>
      <c r="E84" s="29"/>
      <c r="F84" s="29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</row>
    <row r="85">
      <c r="B85" s="28"/>
      <c r="C85" s="28"/>
      <c r="D85" s="28"/>
      <c r="E85" s="29"/>
      <c r="F85" s="29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</row>
    <row r="86">
      <c r="B86" s="28"/>
      <c r="C86" s="28"/>
      <c r="D86" s="28"/>
      <c r="E86" s="29"/>
      <c r="F86" s="29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</row>
    <row r="87">
      <c r="B87" s="28"/>
      <c r="C87" s="28"/>
      <c r="D87" s="28"/>
      <c r="E87" s="29"/>
      <c r="F87" s="29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</row>
    <row r="88">
      <c r="B88" s="28"/>
      <c r="C88" s="28"/>
      <c r="D88" s="28"/>
      <c r="E88" s="29"/>
      <c r="F88" s="29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</row>
    <row r="89">
      <c r="B89" s="28"/>
      <c r="C89" s="28"/>
      <c r="D89" s="28"/>
      <c r="E89" s="29"/>
      <c r="F89" s="29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</row>
    <row r="90">
      <c r="B90" s="28"/>
      <c r="C90" s="28"/>
      <c r="D90" s="28"/>
      <c r="E90" s="29"/>
      <c r="F90" s="29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</row>
    <row r="91">
      <c r="B91" s="28"/>
      <c r="C91" s="28"/>
      <c r="D91" s="28"/>
      <c r="E91" s="29"/>
      <c r="F91" s="29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</row>
    <row r="92">
      <c r="B92" s="28"/>
      <c r="C92" s="28"/>
      <c r="D92" s="28"/>
      <c r="E92" s="29"/>
      <c r="F92" s="29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</row>
    <row r="93">
      <c r="B93" s="28"/>
      <c r="C93" s="28"/>
      <c r="D93" s="28"/>
      <c r="E93" s="29"/>
      <c r="F93" s="29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</row>
    <row r="94">
      <c r="B94" s="28"/>
      <c r="C94" s="28"/>
      <c r="D94" s="28"/>
      <c r="E94" s="29"/>
      <c r="F94" s="29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</row>
    <row r="95">
      <c r="B95" s="28"/>
      <c r="C95" s="28"/>
      <c r="D95" s="28"/>
      <c r="E95" s="29"/>
      <c r="F95" s="29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</row>
    <row r="96">
      <c r="B96" s="28"/>
      <c r="C96" s="28"/>
      <c r="D96" s="28"/>
      <c r="E96" s="29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</row>
    <row r="97">
      <c r="B97" s="28"/>
      <c r="C97" s="28"/>
      <c r="D97" s="28"/>
      <c r="E97" s="29"/>
      <c r="F97" s="29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</row>
    <row r="98">
      <c r="B98" s="28"/>
      <c r="C98" s="28"/>
      <c r="D98" s="28"/>
      <c r="E98" s="29"/>
      <c r="F98" s="29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</row>
    <row r="99">
      <c r="B99" s="28"/>
      <c r="C99" s="28"/>
      <c r="D99" s="28"/>
      <c r="E99" s="29"/>
      <c r="F99" s="29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</row>
    <row r="100">
      <c r="B100" s="28"/>
      <c r="C100" s="28"/>
      <c r="D100" s="28"/>
      <c r="E100" s="29"/>
      <c r="F100" s="29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</row>
    <row r="101">
      <c r="B101" s="28"/>
      <c r="C101" s="28"/>
      <c r="D101" s="28"/>
      <c r="E101" s="29"/>
      <c r="F101" s="29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</row>
    <row r="102">
      <c r="B102" s="28"/>
      <c r="C102" s="28"/>
      <c r="D102" s="28"/>
      <c r="E102" s="29"/>
      <c r="F102" s="29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</row>
    <row r="103">
      <c r="B103" s="28"/>
      <c r="C103" s="28"/>
      <c r="D103" s="28"/>
      <c r="E103" s="29"/>
      <c r="F103" s="29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</row>
    <row r="104">
      <c r="B104" s="28"/>
      <c r="C104" s="28"/>
      <c r="D104" s="28"/>
      <c r="E104" s="29"/>
      <c r="F104" s="29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</row>
    <row r="105">
      <c r="B105" s="28"/>
      <c r="C105" s="28"/>
      <c r="D105" s="28"/>
      <c r="E105" s="29"/>
      <c r="F105" s="29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</row>
    <row r="106">
      <c r="B106" s="28"/>
      <c r="C106" s="28"/>
      <c r="D106" s="28"/>
      <c r="E106" s="29"/>
      <c r="F106" s="29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  <row r="107">
      <c r="B107" s="28"/>
      <c r="C107" s="28"/>
      <c r="D107" s="28"/>
      <c r="E107" s="29"/>
      <c r="F107" s="29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</row>
    <row r="108">
      <c r="B108" s="28"/>
      <c r="C108" s="28"/>
      <c r="D108" s="28"/>
      <c r="E108" s="29"/>
      <c r="F108" s="29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</row>
    <row r="109">
      <c r="B109" s="28"/>
      <c r="C109" s="28"/>
      <c r="D109" s="28"/>
      <c r="E109" s="29"/>
      <c r="F109" s="29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</row>
    <row r="110">
      <c r="B110" s="28"/>
      <c r="C110" s="28"/>
      <c r="D110" s="28"/>
      <c r="E110" s="29"/>
      <c r="F110" s="29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</row>
    <row r="111">
      <c r="B111" s="28"/>
      <c r="C111" s="28"/>
      <c r="D111" s="28"/>
      <c r="E111" s="29"/>
      <c r="F111" s="29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</row>
    <row r="112">
      <c r="B112" s="28"/>
      <c r="C112" s="28"/>
      <c r="D112" s="28"/>
      <c r="E112" s="29"/>
      <c r="F112" s="29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</row>
    <row r="113">
      <c r="B113" s="28"/>
      <c r="C113" s="28"/>
      <c r="D113" s="28"/>
      <c r="E113" s="29"/>
      <c r="F113" s="29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</row>
    <row r="114">
      <c r="B114" s="28"/>
      <c r="C114" s="28"/>
      <c r="D114" s="28"/>
      <c r="E114" s="29"/>
      <c r="F114" s="29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</row>
    <row r="115">
      <c r="B115" s="28"/>
      <c r="C115" s="28"/>
      <c r="D115" s="28"/>
      <c r="E115" s="29"/>
      <c r="F115" s="29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</row>
    <row r="116">
      <c r="B116" s="28"/>
      <c r="C116" s="28"/>
      <c r="D116" s="28"/>
      <c r="E116" s="29"/>
      <c r="F116" s="29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</row>
    <row r="117">
      <c r="B117" s="28"/>
      <c r="C117" s="28"/>
      <c r="D117" s="28"/>
      <c r="E117" s="29"/>
      <c r="F117" s="29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</row>
    <row r="118">
      <c r="B118" s="28"/>
      <c r="C118" s="28"/>
      <c r="D118" s="28"/>
      <c r="E118" s="29"/>
      <c r="F118" s="29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</row>
    <row r="119">
      <c r="B119" s="28"/>
      <c r="C119" s="28"/>
      <c r="D119" s="28"/>
      <c r="E119" s="29"/>
      <c r="F119" s="29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</row>
    <row r="120">
      <c r="B120" s="28"/>
      <c r="C120" s="28"/>
      <c r="D120" s="28"/>
      <c r="E120" s="29"/>
      <c r="F120" s="29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</row>
    <row r="121">
      <c r="B121" s="28"/>
      <c r="C121" s="28"/>
      <c r="D121" s="28"/>
      <c r="E121" s="29"/>
      <c r="F121" s="29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</row>
    <row r="122">
      <c r="B122" s="28"/>
      <c r="C122" s="28"/>
      <c r="D122" s="28"/>
      <c r="E122" s="29"/>
      <c r="F122" s="29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</row>
    <row r="123">
      <c r="B123" s="28"/>
      <c r="C123" s="28"/>
      <c r="D123" s="28"/>
      <c r="E123" s="29"/>
      <c r="F123" s="29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</row>
    <row r="124">
      <c r="B124" s="28"/>
      <c r="C124" s="28"/>
      <c r="D124" s="28"/>
      <c r="E124" s="29"/>
      <c r="F124" s="29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</row>
    <row r="125">
      <c r="B125" s="28"/>
      <c r="C125" s="28"/>
      <c r="D125" s="28"/>
      <c r="E125" s="29"/>
      <c r="F125" s="29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</row>
    <row r="126">
      <c r="B126" s="28"/>
      <c r="C126" s="28"/>
      <c r="D126" s="28"/>
      <c r="E126" s="29"/>
      <c r="F126" s="29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</row>
    <row r="127">
      <c r="B127" s="28"/>
      <c r="C127" s="28"/>
      <c r="D127" s="28"/>
      <c r="E127" s="29"/>
      <c r="F127" s="29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</row>
    <row r="128">
      <c r="B128" s="28"/>
      <c r="C128" s="28"/>
      <c r="D128" s="28"/>
      <c r="E128" s="29"/>
      <c r="F128" s="29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</row>
    <row r="129">
      <c r="B129" s="28"/>
      <c r="C129" s="28"/>
      <c r="D129" s="28"/>
      <c r="E129" s="29"/>
      <c r="F129" s="29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</row>
    <row r="130">
      <c r="B130" s="28"/>
      <c r="C130" s="28"/>
      <c r="D130" s="28"/>
      <c r="E130" s="29"/>
      <c r="F130" s="29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</row>
    <row r="131">
      <c r="B131" s="28"/>
      <c r="C131" s="28"/>
      <c r="D131" s="28"/>
      <c r="E131" s="29"/>
      <c r="F131" s="29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</row>
    <row r="132">
      <c r="B132" s="28"/>
      <c r="C132" s="28"/>
      <c r="D132" s="28"/>
      <c r="E132" s="29"/>
      <c r="F132" s="29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</row>
    <row r="133">
      <c r="B133" s="28"/>
      <c r="C133" s="28"/>
      <c r="D133" s="28"/>
      <c r="E133" s="29"/>
      <c r="F133" s="29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</row>
    <row r="134">
      <c r="B134" s="28"/>
      <c r="C134" s="28"/>
      <c r="D134" s="28"/>
      <c r="E134" s="29"/>
      <c r="F134" s="29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</row>
    <row r="135">
      <c r="B135" s="28"/>
      <c r="C135" s="28"/>
      <c r="D135" s="28"/>
      <c r="E135" s="29"/>
      <c r="F135" s="29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</row>
    <row r="136">
      <c r="B136" s="28"/>
      <c r="C136" s="28"/>
      <c r="D136" s="28"/>
      <c r="E136" s="29"/>
      <c r="F136" s="29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</row>
    <row r="137">
      <c r="B137" s="28"/>
      <c r="C137" s="28"/>
      <c r="D137" s="28"/>
      <c r="E137" s="29"/>
      <c r="F137" s="29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</row>
    <row r="138">
      <c r="B138" s="28"/>
      <c r="C138" s="28"/>
      <c r="D138" s="28"/>
      <c r="E138" s="29"/>
      <c r="F138" s="29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</row>
    <row r="139">
      <c r="B139" s="28"/>
      <c r="C139" s="28"/>
      <c r="D139" s="28"/>
      <c r="E139" s="29"/>
      <c r="F139" s="29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</row>
    <row r="140">
      <c r="B140" s="28"/>
      <c r="C140" s="28"/>
      <c r="D140" s="28"/>
      <c r="E140" s="29"/>
      <c r="F140" s="29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</row>
    <row r="141">
      <c r="B141" s="28"/>
      <c r="C141" s="28"/>
      <c r="D141" s="28"/>
      <c r="E141" s="29"/>
      <c r="F141" s="29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</row>
    <row r="142">
      <c r="B142" s="28"/>
      <c r="C142" s="28"/>
      <c r="D142" s="28"/>
      <c r="E142" s="29"/>
      <c r="F142" s="29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</row>
    <row r="143">
      <c r="B143" s="28"/>
      <c r="C143" s="28"/>
      <c r="D143" s="28"/>
      <c r="E143" s="29"/>
      <c r="F143" s="29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</row>
    <row r="144">
      <c r="B144" s="28"/>
      <c r="C144" s="28"/>
      <c r="D144" s="28"/>
      <c r="E144" s="29"/>
      <c r="F144" s="29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</row>
    <row r="145">
      <c r="B145" s="28"/>
      <c r="C145" s="28"/>
      <c r="D145" s="28"/>
      <c r="E145" s="29"/>
      <c r="F145" s="29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</row>
    <row r="146">
      <c r="B146" s="28"/>
      <c r="C146" s="28"/>
      <c r="D146" s="28"/>
      <c r="E146" s="29"/>
      <c r="F146" s="29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</row>
    <row r="147">
      <c r="B147" s="28"/>
      <c r="C147" s="28"/>
      <c r="D147" s="28"/>
      <c r="E147" s="29"/>
      <c r="F147" s="29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</row>
    <row r="148">
      <c r="B148" s="28"/>
      <c r="C148" s="28"/>
      <c r="D148" s="28"/>
      <c r="E148" s="29"/>
      <c r="F148" s="29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</row>
    <row r="149">
      <c r="B149" s="28"/>
      <c r="C149" s="28"/>
      <c r="D149" s="28"/>
      <c r="E149" s="29"/>
      <c r="F149" s="29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</row>
    <row r="150">
      <c r="B150" s="28"/>
      <c r="C150" s="28"/>
      <c r="D150" s="28"/>
      <c r="E150" s="29"/>
      <c r="F150" s="29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</row>
    <row r="151">
      <c r="B151" s="28"/>
      <c r="C151" s="28"/>
      <c r="D151" s="28"/>
      <c r="E151" s="29"/>
      <c r="F151" s="29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</row>
    <row r="152">
      <c r="B152" s="28"/>
      <c r="C152" s="28"/>
      <c r="D152" s="28"/>
      <c r="E152" s="29"/>
      <c r="F152" s="29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</row>
    <row r="153">
      <c r="B153" s="28"/>
      <c r="C153" s="28"/>
      <c r="D153" s="28"/>
      <c r="E153" s="29"/>
      <c r="F153" s="29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</row>
    <row r="154">
      <c r="B154" s="28"/>
      <c r="C154" s="28"/>
      <c r="D154" s="28"/>
      <c r="E154" s="29"/>
      <c r="F154" s="29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</row>
    <row r="155">
      <c r="B155" s="28"/>
      <c r="C155" s="28"/>
      <c r="D155" s="28"/>
      <c r="E155" s="29"/>
      <c r="F155" s="29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</row>
    <row r="156">
      <c r="B156" s="28"/>
      <c r="C156" s="28"/>
      <c r="D156" s="28"/>
      <c r="E156" s="29"/>
      <c r="F156" s="29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</row>
    <row r="157">
      <c r="B157" s="28"/>
      <c r="C157" s="28"/>
      <c r="D157" s="28"/>
      <c r="E157" s="29"/>
      <c r="F157" s="29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</row>
    <row r="158">
      <c r="B158" s="28"/>
      <c r="C158" s="28"/>
      <c r="D158" s="28"/>
      <c r="E158" s="29"/>
      <c r="F158" s="29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</row>
    <row r="159">
      <c r="B159" s="28"/>
      <c r="C159" s="28"/>
      <c r="D159" s="28"/>
      <c r="E159" s="29"/>
      <c r="F159" s="29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</row>
    <row r="160">
      <c r="B160" s="28"/>
      <c r="C160" s="28"/>
      <c r="D160" s="28"/>
      <c r="E160" s="29"/>
      <c r="F160" s="29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</row>
    <row r="161">
      <c r="B161" s="28"/>
      <c r="C161" s="28"/>
      <c r="D161" s="28"/>
      <c r="E161" s="29"/>
      <c r="F161" s="29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</row>
    <row r="162">
      <c r="B162" s="28"/>
      <c r="C162" s="28"/>
      <c r="D162" s="28"/>
      <c r="E162" s="29"/>
      <c r="F162" s="29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</row>
    <row r="163">
      <c r="B163" s="28"/>
      <c r="C163" s="28"/>
      <c r="D163" s="28"/>
      <c r="E163" s="29"/>
      <c r="F163" s="29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</row>
    <row r="164">
      <c r="B164" s="28"/>
      <c r="C164" s="28"/>
      <c r="D164" s="28"/>
      <c r="E164" s="29"/>
      <c r="F164" s="29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</row>
    <row r="165">
      <c r="B165" s="28"/>
      <c r="C165" s="28"/>
      <c r="D165" s="28"/>
      <c r="E165" s="29"/>
      <c r="F165" s="29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</row>
    <row r="166">
      <c r="B166" s="28"/>
      <c r="C166" s="28"/>
      <c r="D166" s="28"/>
      <c r="E166" s="29"/>
      <c r="F166" s="29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</row>
    <row r="167">
      <c r="B167" s="28"/>
      <c r="C167" s="28"/>
      <c r="D167" s="28"/>
      <c r="E167" s="29"/>
      <c r="F167" s="29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</row>
    <row r="168">
      <c r="B168" s="28"/>
      <c r="C168" s="28"/>
      <c r="D168" s="28"/>
      <c r="E168" s="29"/>
      <c r="F168" s="29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</row>
    <row r="169">
      <c r="B169" s="28"/>
      <c r="C169" s="28"/>
      <c r="D169" s="28"/>
      <c r="E169" s="29"/>
      <c r="F169" s="29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</row>
    <row r="170">
      <c r="B170" s="28"/>
      <c r="C170" s="28"/>
      <c r="D170" s="28"/>
      <c r="E170" s="29"/>
      <c r="F170" s="29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</row>
    <row r="171">
      <c r="B171" s="28"/>
      <c r="C171" s="28"/>
      <c r="D171" s="28"/>
      <c r="E171" s="29"/>
      <c r="F171" s="29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</row>
    <row r="172">
      <c r="B172" s="28"/>
      <c r="C172" s="28"/>
      <c r="D172" s="28"/>
      <c r="E172" s="29"/>
      <c r="F172" s="29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</row>
    <row r="173">
      <c r="B173" s="28"/>
      <c r="C173" s="28"/>
      <c r="D173" s="28"/>
      <c r="E173" s="29"/>
      <c r="F173" s="29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</row>
    <row r="174">
      <c r="B174" s="28"/>
      <c r="C174" s="28"/>
      <c r="D174" s="28"/>
      <c r="E174" s="29"/>
      <c r="F174" s="29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</row>
    <row r="175">
      <c r="B175" s="28"/>
      <c r="C175" s="28"/>
      <c r="D175" s="28"/>
      <c r="E175" s="29"/>
      <c r="F175" s="29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</row>
    <row r="176">
      <c r="B176" s="28"/>
      <c r="C176" s="28"/>
      <c r="D176" s="28"/>
      <c r="E176" s="29"/>
      <c r="F176" s="29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</row>
    <row r="177">
      <c r="B177" s="28"/>
      <c r="C177" s="28"/>
      <c r="D177" s="28"/>
      <c r="E177" s="29"/>
      <c r="F177" s="29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</row>
    <row r="178">
      <c r="B178" s="28"/>
      <c r="C178" s="28"/>
      <c r="D178" s="28"/>
      <c r="E178" s="29"/>
      <c r="F178" s="29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</row>
    <row r="179">
      <c r="B179" s="28"/>
      <c r="C179" s="28"/>
      <c r="D179" s="28"/>
      <c r="E179" s="29"/>
      <c r="F179" s="29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</row>
    <row r="180">
      <c r="B180" s="28"/>
      <c r="C180" s="28"/>
      <c r="D180" s="28"/>
      <c r="E180" s="29"/>
      <c r="F180" s="29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</row>
    <row r="181">
      <c r="B181" s="28"/>
      <c r="C181" s="28"/>
      <c r="D181" s="28"/>
      <c r="E181" s="29"/>
      <c r="F181" s="29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</row>
    <row r="182">
      <c r="B182" s="28"/>
      <c r="C182" s="28"/>
      <c r="D182" s="28"/>
      <c r="E182" s="29"/>
      <c r="F182" s="29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</row>
    <row r="183">
      <c r="B183" s="28"/>
      <c r="C183" s="28"/>
      <c r="D183" s="28"/>
      <c r="E183" s="29"/>
      <c r="F183" s="29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</row>
    <row r="184">
      <c r="B184" s="28"/>
      <c r="C184" s="28"/>
      <c r="D184" s="28"/>
      <c r="E184" s="29"/>
      <c r="F184" s="29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</row>
    <row r="185">
      <c r="B185" s="28"/>
      <c r="C185" s="28"/>
      <c r="D185" s="28"/>
      <c r="E185" s="29"/>
      <c r="F185" s="29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</row>
    <row r="186">
      <c r="B186" s="28"/>
      <c r="C186" s="28"/>
      <c r="D186" s="28"/>
      <c r="E186" s="29"/>
      <c r="F186" s="29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</row>
    <row r="187">
      <c r="B187" s="28"/>
      <c r="C187" s="28"/>
      <c r="D187" s="28"/>
      <c r="E187" s="29"/>
      <c r="F187" s="29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</row>
    <row r="188">
      <c r="B188" s="28"/>
      <c r="C188" s="28"/>
      <c r="D188" s="28"/>
      <c r="E188" s="29"/>
      <c r="F188" s="29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</row>
    <row r="189">
      <c r="B189" s="28"/>
      <c r="C189" s="28"/>
      <c r="D189" s="28"/>
      <c r="E189" s="29"/>
      <c r="F189" s="29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</row>
    <row r="190">
      <c r="B190" s="28"/>
      <c r="C190" s="28"/>
      <c r="D190" s="28"/>
      <c r="E190" s="29"/>
      <c r="F190" s="29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</row>
    <row r="191">
      <c r="B191" s="28"/>
      <c r="C191" s="28"/>
      <c r="D191" s="28"/>
      <c r="E191" s="29"/>
      <c r="F191" s="29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</row>
    <row r="192">
      <c r="B192" s="28"/>
      <c r="C192" s="28"/>
      <c r="D192" s="28"/>
      <c r="E192" s="29"/>
      <c r="F192" s="29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</row>
    <row r="193">
      <c r="B193" s="28"/>
      <c r="C193" s="28"/>
      <c r="D193" s="28"/>
      <c r="E193" s="29"/>
      <c r="F193" s="29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</row>
    <row r="194">
      <c r="B194" s="28"/>
      <c r="C194" s="28"/>
      <c r="D194" s="28"/>
      <c r="E194" s="29"/>
      <c r="F194" s="29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</row>
    <row r="195">
      <c r="B195" s="28"/>
      <c r="C195" s="28"/>
      <c r="D195" s="28"/>
      <c r="E195" s="29"/>
      <c r="F195" s="29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</row>
    <row r="196">
      <c r="B196" s="28"/>
      <c r="C196" s="28"/>
      <c r="D196" s="28"/>
      <c r="E196" s="29"/>
      <c r="F196" s="29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</row>
    <row r="197">
      <c r="B197" s="28"/>
      <c r="C197" s="28"/>
      <c r="D197" s="28"/>
      <c r="E197" s="29"/>
      <c r="F197" s="29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</row>
    <row r="198">
      <c r="B198" s="28"/>
      <c r="C198" s="28"/>
      <c r="D198" s="28"/>
      <c r="E198" s="29"/>
      <c r="F198" s="29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</row>
    <row r="199">
      <c r="B199" s="28"/>
      <c r="C199" s="28"/>
      <c r="D199" s="28"/>
      <c r="E199" s="29"/>
      <c r="F199" s="29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</row>
    <row r="200">
      <c r="B200" s="28"/>
      <c r="C200" s="28"/>
      <c r="D200" s="28"/>
      <c r="E200" s="29"/>
      <c r="F200" s="29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</row>
    <row r="201">
      <c r="B201" s="28"/>
      <c r="C201" s="28"/>
      <c r="D201" s="28"/>
      <c r="E201" s="29"/>
      <c r="F201" s="29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</row>
    <row r="202">
      <c r="B202" s="28"/>
      <c r="C202" s="28"/>
      <c r="D202" s="28"/>
      <c r="E202" s="29"/>
      <c r="F202" s="29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</row>
    <row r="203">
      <c r="B203" s="28"/>
      <c r="C203" s="28"/>
      <c r="D203" s="28"/>
      <c r="E203" s="29"/>
      <c r="F203" s="29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</row>
    <row r="204">
      <c r="B204" s="28"/>
      <c r="C204" s="28"/>
      <c r="D204" s="28"/>
      <c r="E204" s="29"/>
      <c r="F204" s="29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</row>
    <row r="205">
      <c r="B205" s="28"/>
      <c r="C205" s="28"/>
      <c r="D205" s="28"/>
      <c r="E205" s="29"/>
      <c r="F205" s="29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</row>
    <row r="206">
      <c r="B206" s="28"/>
      <c r="C206" s="28"/>
      <c r="D206" s="28"/>
      <c r="E206" s="29"/>
      <c r="F206" s="29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</row>
    <row r="207">
      <c r="B207" s="28"/>
      <c r="C207" s="28"/>
      <c r="D207" s="28"/>
      <c r="E207" s="29"/>
      <c r="F207" s="29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</row>
    <row r="208">
      <c r="B208" s="28"/>
      <c r="C208" s="28"/>
      <c r="D208" s="28"/>
      <c r="E208" s="29"/>
      <c r="F208" s="29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</row>
    <row r="209">
      <c r="B209" s="28"/>
      <c r="C209" s="28"/>
      <c r="D209" s="28"/>
      <c r="E209" s="29"/>
      <c r="F209" s="29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</row>
    <row r="210">
      <c r="B210" s="28"/>
      <c r="C210" s="28"/>
      <c r="D210" s="28"/>
      <c r="E210" s="29"/>
      <c r="F210" s="29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</row>
    <row r="211">
      <c r="B211" s="28"/>
      <c r="C211" s="28"/>
      <c r="D211" s="28"/>
      <c r="E211" s="29"/>
      <c r="F211" s="29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</row>
    <row r="212">
      <c r="B212" s="28"/>
      <c r="C212" s="28"/>
      <c r="D212" s="28"/>
      <c r="E212" s="29"/>
      <c r="F212" s="29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</row>
    <row r="213">
      <c r="B213" s="28"/>
      <c r="C213" s="28"/>
      <c r="D213" s="28"/>
      <c r="E213" s="29"/>
      <c r="F213" s="29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</row>
    <row r="214">
      <c r="B214" s="28"/>
      <c r="C214" s="28"/>
      <c r="D214" s="28"/>
      <c r="E214" s="29"/>
      <c r="F214" s="29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</row>
    <row r="215">
      <c r="B215" s="28"/>
      <c r="C215" s="28"/>
      <c r="D215" s="28"/>
      <c r="E215" s="29"/>
      <c r="F215" s="29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</row>
    <row r="216">
      <c r="B216" s="28"/>
      <c r="C216" s="28"/>
      <c r="D216" s="28"/>
      <c r="E216" s="29"/>
      <c r="F216" s="29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</row>
    <row r="217">
      <c r="B217" s="28"/>
      <c r="C217" s="28"/>
      <c r="D217" s="28"/>
      <c r="E217" s="29"/>
      <c r="F217" s="29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</row>
    <row r="218">
      <c r="B218" s="28"/>
      <c r="C218" s="28"/>
      <c r="D218" s="28"/>
      <c r="E218" s="29"/>
      <c r="F218" s="29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</row>
    <row r="219">
      <c r="B219" s="28"/>
      <c r="C219" s="28"/>
      <c r="D219" s="28"/>
      <c r="E219" s="29"/>
      <c r="F219" s="29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</row>
    <row r="220">
      <c r="B220" s="28"/>
      <c r="C220" s="28"/>
      <c r="D220" s="28"/>
      <c r="E220" s="29"/>
      <c r="F220" s="29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</row>
    <row r="221">
      <c r="B221" s="28"/>
      <c r="C221" s="28"/>
      <c r="D221" s="28"/>
      <c r="E221" s="29"/>
      <c r="F221" s="29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</row>
    <row r="222">
      <c r="B222" s="28"/>
      <c r="C222" s="28"/>
      <c r="D222" s="28"/>
      <c r="E222" s="29"/>
      <c r="F222" s="29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</row>
    <row r="223">
      <c r="B223" s="28"/>
      <c r="C223" s="28"/>
      <c r="D223" s="28"/>
      <c r="E223" s="29"/>
      <c r="F223" s="29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</row>
    <row r="224">
      <c r="B224" s="28"/>
      <c r="C224" s="28"/>
      <c r="D224" s="28"/>
      <c r="E224" s="29"/>
      <c r="F224" s="29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</row>
    <row r="225">
      <c r="B225" s="28"/>
      <c r="C225" s="28"/>
      <c r="D225" s="28"/>
      <c r="E225" s="29"/>
      <c r="F225" s="29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</row>
    <row r="226">
      <c r="B226" s="28"/>
      <c r="C226" s="28"/>
      <c r="D226" s="28"/>
      <c r="E226" s="29"/>
      <c r="F226" s="29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</row>
    <row r="227">
      <c r="B227" s="28"/>
      <c r="C227" s="28"/>
      <c r="D227" s="28"/>
      <c r="E227" s="29"/>
      <c r="F227" s="29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</row>
    <row r="228">
      <c r="B228" s="28"/>
      <c r="C228" s="28"/>
      <c r="D228" s="28"/>
      <c r="E228" s="29"/>
      <c r="F228" s="29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</row>
    <row r="229">
      <c r="B229" s="28"/>
      <c r="C229" s="28"/>
      <c r="D229" s="28"/>
      <c r="E229" s="29"/>
      <c r="F229" s="29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</row>
    <row r="230">
      <c r="B230" s="28"/>
      <c r="C230" s="28"/>
      <c r="D230" s="28"/>
      <c r="E230" s="29"/>
      <c r="F230" s="29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</row>
    <row r="231">
      <c r="B231" s="28"/>
      <c r="C231" s="28"/>
      <c r="D231" s="28"/>
      <c r="E231" s="29"/>
      <c r="F231" s="29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</row>
    <row r="232">
      <c r="B232" s="28"/>
      <c r="C232" s="28"/>
      <c r="D232" s="28"/>
      <c r="E232" s="29"/>
      <c r="F232" s="29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</row>
    <row r="233">
      <c r="B233" s="28"/>
      <c r="C233" s="28"/>
      <c r="D233" s="28"/>
      <c r="E233" s="29"/>
      <c r="F233" s="29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</row>
    <row r="234">
      <c r="B234" s="28"/>
      <c r="C234" s="28"/>
      <c r="D234" s="28"/>
      <c r="E234" s="29"/>
      <c r="F234" s="29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</row>
    <row r="235">
      <c r="B235" s="28"/>
      <c r="C235" s="28"/>
      <c r="D235" s="28"/>
      <c r="E235" s="29"/>
      <c r="F235" s="29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</row>
    <row r="236">
      <c r="B236" s="28"/>
      <c r="C236" s="28"/>
      <c r="D236" s="28"/>
      <c r="E236" s="29"/>
      <c r="F236" s="29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</row>
    <row r="237">
      <c r="B237" s="28"/>
      <c r="C237" s="28"/>
      <c r="D237" s="28"/>
      <c r="E237" s="29"/>
      <c r="F237" s="29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</row>
    <row r="238">
      <c r="B238" s="28"/>
      <c r="C238" s="28"/>
      <c r="D238" s="28"/>
      <c r="E238" s="29"/>
      <c r="F238" s="29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</row>
    <row r="239">
      <c r="B239" s="28"/>
      <c r="C239" s="28"/>
      <c r="D239" s="28"/>
      <c r="E239" s="29"/>
      <c r="F239" s="29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</row>
    <row r="240">
      <c r="B240" s="28"/>
      <c r="C240" s="28"/>
      <c r="D240" s="28"/>
      <c r="E240" s="29"/>
      <c r="F240" s="29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</row>
    <row r="241">
      <c r="B241" s="28"/>
      <c r="C241" s="28"/>
      <c r="D241" s="28"/>
      <c r="E241" s="29"/>
      <c r="F241" s="29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</row>
    <row r="242">
      <c r="B242" s="28"/>
      <c r="C242" s="28"/>
      <c r="D242" s="28"/>
      <c r="E242" s="29"/>
      <c r="F242" s="29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</row>
    <row r="243">
      <c r="B243" s="28"/>
      <c r="C243" s="28"/>
      <c r="D243" s="28"/>
      <c r="E243" s="29"/>
      <c r="F243" s="29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</row>
    <row r="244">
      <c r="B244" s="28"/>
      <c r="C244" s="28"/>
      <c r="D244" s="28"/>
      <c r="E244" s="29"/>
      <c r="F244" s="29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</row>
    <row r="245">
      <c r="B245" s="28"/>
      <c r="C245" s="28"/>
      <c r="D245" s="28"/>
      <c r="E245" s="29"/>
      <c r="F245" s="29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>
      <c r="B246" s="28"/>
      <c r="C246" s="28"/>
      <c r="D246" s="28"/>
      <c r="E246" s="29"/>
      <c r="F246" s="29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>
      <c r="B247" s="28"/>
      <c r="C247" s="28"/>
      <c r="D247" s="28"/>
      <c r="E247" s="29"/>
      <c r="F247" s="29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>
      <c r="B248" s="28"/>
      <c r="C248" s="28"/>
      <c r="D248" s="28"/>
      <c r="E248" s="29"/>
      <c r="F248" s="29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>
      <c r="B249" s="28"/>
      <c r="C249" s="28"/>
      <c r="D249" s="28"/>
      <c r="E249" s="29"/>
      <c r="F249" s="29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</row>
    <row r="250">
      <c r="B250" s="28"/>
      <c r="C250" s="28"/>
      <c r="D250" s="28"/>
      <c r="E250" s="29"/>
      <c r="F250" s="29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</row>
    <row r="251">
      <c r="B251" s="28"/>
      <c r="C251" s="28"/>
      <c r="D251" s="28"/>
      <c r="E251" s="29"/>
      <c r="F251" s="29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>
      <c r="B252" s="28"/>
      <c r="C252" s="28"/>
      <c r="D252" s="28"/>
      <c r="E252" s="29"/>
      <c r="F252" s="29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>
      <c r="B253" s="28"/>
      <c r="C253" s="28"/>
      <c r="D253" s="28"/>
      <c r="E253" s="29"/>
      <c r="F253" s="29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>
      <c r="B254" s="28"/>
      <c r="C254" s="28"/>
      <c r="D254" s="28"/>
      <c r="E254" s="29"/>
      <c r="F254" s="29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</row>
    <row r="255">
      <c r="B255" s="28"/>
      <c r="C255" s="28"/>
      <c r="D255" s="28"/>
      <c r="E255" s="29"/>
      <c r="F255" s="29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>
      <c r="B256" s="28"/>
      <c r="C256" s="28"/>
      <c r="D256" s="28"/>
      <c r="E256" s="29"/>
      <c r="F256" s="29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>
      <c r="B257" s="28"/>
      <c r="C257" s="28"/>
      <c r="D257" s="28"/>
      <c r="E257" s="29"/>
      <c r="F257" s="29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>
      <c r="B258" s="28"/>
      <c r="C258" s="28"/>
      <c r="D258" s="28"/>
      <c r="E258" s="29"/>
      <c r="F258" s="29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>
      <c r="B259" s="28"/>
      <c r="C259" s="28"/>
      <c r="D259" s="28"/>
      <c r="E259" s="29"/>
      <c r="F259" s="29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>
      <c r="B260" s="28"/>
      <c r="C260" s="28"/>
      <c r="D260" s="28"/>
      <c r="E260" s="29"/>
      <c r="F260" s="29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>
      <c r="B261" s="28"/>
      <c r="C261" s="28"/>
      <c r="D261" s="28"/>
      <c r="E261" s="29"/>
      <c r="F261" s="29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>
      <c r="B262" s="28"/>
      <c r="C262" s="28"/>
      <c r="D262" s="28"/>
      <c r="E262" s="29"/>
      <c r="F262" s="29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>
      <c r="B263" s="28"/>
      <c r="C263" s="28"/>
      <c r="D263" s="28"/>
      <c r="E263" s="29"/>
      <c r="F263" s="29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>
      <c r="B264" s="28"/>
      <c r="C264" s="28"/>
      <c r="D264" s="28"/>
      <c r="E264" s="29"/>
      <c r="F264" s="29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>
      <c r="B265" s="28"/>
      <c r="C265" s="28"/>
      <c r="D265" s="28"/>
      <c r="E265" s="29"/>
      <c r="F265" s="29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</row>
    <row r="266">
      <c r="B266" s="28"/>
      <c r="C266" s="28"/>
      <c r="D266" s="28"/>
      <c r="E266" s="29"/>
      <c r="F266" s="29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>
      <c r="B267" s="28"/>
      <c r="C267" s="28"/>
      <c r="D267" s="28"/>
      <c r="E267" s="29"/>
      <c r="F267" s="29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</row>
    <row r="268">
      <c r="B268" s="28"/>
      <c r="C268" s="28"/>
      <c r="D268" s="28"/>
      <c r="E268" s="29"/>
      <c r="F268" s="29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</row>
    <row r="269">
      <c r="B269" s="28"/>
      <c r="C269" s="28"/>
      <c r="D269" s="28"/>
      <c r="E269" s="29"/>
      <c r="F269" s="29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</row>
    <row r="270">
      <c r="B270" s="28"/>
      <c r="C270" s="28"/>
      <c r="D270" s="28"/>
      <c r="E270" s="29"/>
      <c r="F270" s="29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>
      <c r="B271" s="28"/>
      <c r="C271" s="28"/>
      <c r="D271" s="28"/>
      <c r="E271" s="29"/>
      <c r="F271" s="29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</row>
    <row r="272">
      <c r="B272" s="28"/>
      <c r="C272" s="28"/>
      <c r="D272" s="28"/>
      <c r="E272" s="29"/>
      <c r="F272" s="29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>
      <c r="B273" s="28"/>
      <c r="C273" s="28"/>
      <c r="D273" s="28"/>
      <c r="E273" s="29"/>
      <c r="F273" s="29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</row>
    <row r="274">
      <c r="B274" s="28"/>
      <c r="C274" s="28"/>
      <c r="D274" s="28"/>
      <c r="E274" s="29"/>
      <c r="F274" s="29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</row>
    <row r="275">
      <c r="B275" s="28"/>
      <c r="C275" s="28"/>
      <c r="D275" s="28"/>
      <c r="E275" s="29"/>
      <c r="F275" s="29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>
      <c r="B276" s="28"/>
      <c r="C276" s="28"/>
      <c r="D276" s="28"/>
      <c r="E276" s="29"/>
      <c r="F276" s="29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>
      <c r="B277" s="28"/>
      <c r="C277" s="28"/>
      <c r="D277" s="28"/>
      <c r="E277" s="29"/>
      <c r="F277" s="29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>
      <c r="B278" s="28"/>
      <c r="C278" s="28"/>
      <c r="D278" s="28"/>
      <c r="E278" s="29"/>
      <c r="F278" s="29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>
      <c r="B279" s="28"/>
      <c r="C279" s="28"/>
      <c r="D279" s="28"/>
      <c r="E279" s="29"/>
      <c r="F279" s="29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</row>
    <row r="280">
      <c r="B280" s="28"/>
      <c r="C280" s="28"/>
      <c r="D280" s="28"/>
      <c r="E280" s="29"/>
      <c r="F280" s="29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>
      <c r="B281" s="28"/>
      <c r="C281" s="28"/>
      <c r="D281" s="28"/>
      <c r="E281" s="29"/>
      <c r="F281" s="29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</row>
    <row r="282">
      <c r="B282" s="28"/>
      <c r="C282" s="28"/>
      <c r="D282" s="28"/>
      <c r="E282" s="29"/>
      <c r="F282" s="29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</row>
    <row r="283">
      <c r="B283" s="28"/>
      <c r="C283" s="28"/>
      <c r="D283" s="28"/>
      <c r="E283" s="29"/>
      <c r="F283" s="29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</row>
    <row r="284">
      <c r="B284" s="28"/>
      <c r="C284" s="28"/>
      <c r="D284" s="28"/>
      <c r="E284" s="29"/>
      <c r="F284" s="29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</row>
    <row r="285">
      <c r="B285" s="28"/>
      <c r="C285" s="28"/>
      <c r="D285" s="28"/>
      <c r="E285" s="29"/>
      <c r="F285" s="29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</row>
    <row r="286">
      <c r="B286" s="28"/>
      <c r="C286" s="28"/>
      <c r="D286" s="28"/>
      <c r="E286" s="29"/>
      <c r="F286" s="29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>
      <c r="B287" s="28"/>
      <c r="C287" s="28"/>
      <c r="D287" s="28"/>
      <c r="E287" s="29"/>
      <c r="F287" s="29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>
      <c r="B288" s="28"/>
      <c r="C288" s="28"/>
      <c r="D288" s="28"/>
      <c r="E288" s="29"/>
      <c r="F288" s="29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</row>
    <row r="289">
      <c r="B289" s="28"/>
      <c r="C289" s="28"/>
      <c r="D289" s="28"/>
      <c r="E289" s="29"/>
      <c r="F289" s="29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</row>
    <row r="290">
      <c r="B290" s="28"/>
      <c r="C290" s="28"/>
      <c r="D290" s="28"/>
      <c r="E290" s="29"/>
      <c r="F290" s="29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</row>
    <row r="291">
      <c r="B291" s="28"/>
      <c r="C291" s="28"/>
      <c r="D291" s="28"/>
      <c r="E291" s="29"/>
      <c r="F291" s="29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</row>
    <row r="292">
      <c r="B292" s="28"/>
      <c r="C292" s="28"/>
      <c r="D292" s="28"/>
      <c r="E292" s="29"/>
      <c r="F292" s="29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</row>
    <row r="293">
      <c r="B293" s="28"/>
      <c r="C293" s="28"/>
      <c r="D293" s="28"/>
      <c r="E293" s="29"/>
      <c r="F293" s="29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</row>
    <row r="294">
      <c r="B294" s="28"/>
      <c r="C294" s="28"/>
      <c r="D294" s="28"/>
      <c r="E294" s="29"/>
      <c r="F294" s="29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</row>
    <row r="295">
      <c r="B295" s="28"/>
      <c r="C295" s="28"/>
      <c r="D295" s="28"/>
      <c r="E295" s="29"/>
      <c r="F295" s="29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</row>
    <row r="296">
      <c r="B296" s="28"/>
      <c r="C296" s="28"/>
      <c r="D296" s="28"/>
      <c r="E296" s="29"/>
      <c r="F296" s="29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</row>
    <row r="297">
      <c r="B297" s="28"/>
      <c r="C297" s="28"/>
      <c r="D297" s="28"/>
      <c r="E297" s="29"/>
      <c r="F297" s="29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</row>
    <row r="298">
      <c r="B298" s="28"/>
      <c r="C298" s="28"/>
      <c r="D298" s="28"/>
      <c r="E298" s="29"/>
      <c r="F298" s="29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</row>
    <row r="299">
      <c r="B299" s="28"/>
      <c r="C299" s="28"/>
      <c r="D299" s="28"/>
      <c r="E299" s="29"/>
      <c r="F299" s="29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</row>
    <row r="300">
      <c r="B300" s="28"/>
      <c r="C300" s="28"/>
      <c r="D300" s="28"/>
      <c r="E300" s="29"/>
      <c r="F300" s="29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</row>
    <row r="301">
      <c r="B301" s="28"/>
      <c r="C301" s="28"/>
      <c r="D301" s="28"/>
      <c r="E301" s="29"/>
      <c r="F301" s="29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</row>
    <row r="302">
      <c r="B302" s="28"/>
      <c r="C302" s="28"/>
      <c r="D302" s="28"/>
      <c r="E302" s="29"/>
      <c r="F302" s="29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</row>
    <row r="303">
      <c r="B303" s="28"/>
      <c r="C303" s="28"/>
      <c r="D303" s="28"/>
      <c r="E303" s="29"/>
      <c r="F303" s="29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</row>
    <row r="304">
      <c r="B304" s="28"/>
      <c r="C304" s="28"/>
      <c r="D304" s="28"/>
      <c r="E304" s="29"/>
      <c r="F304" s="29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</row>
    <row r="305">
      <c r="B305" s="28"/>
      <c r="C305" s="28"/>
      <c r="D305" s="28"/>
      <c r="E305" s="29"/>
      <c r="F305" s="29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</row>
    <row r="306">
      <c r="B306" s="28"/>
      <c r="C306" s="28"/>
      <c r="D306" s="28"/>
      <c r="E306" s="29"/>
      <c r="F306" s="29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</row>
    <row r="307">
      <c r="B307" s="28"/>
      <c r="C307" s="28"/>
      <c r="D307" s="28"/>
      <c r="E307" s="29"/>
      <c r="F307" s="29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</row>
    <row r="308">
      <c r="B308" s="28"/>
      <c r="C308" s="28"/>
      <c r="D308" s="28"/>
      <c r="E308" s="29"/>
      <c r="F308" s="29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</row>
    <row r="309">
      <c r="B309" s="28"/>
      <c r="C309" s="28"/>
      <c r="D309" s="28"/>
      <c r="E309" s="29"/>
      <c r="F309" s="29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</row>
    <row r="310">
      <c r="B310" s="28"/>
      <c r="C310" s="28"/>
      <c r="D310" s="28"/>
      <c r="E310" s="29"/>
      <c r="F310" s="29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</row>
    <row r="311">
      <c r="B311" s="28"/>
      <c r="C311" s="28"/>
      <c r="D311" s="28"/>
      <c r="E311" s="29"/>
      <c r="F311" s="29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</row>
    <row r="312">
      <c r="B312" s="28"/>
      <c r="C312" s="28"/>
      <c r="D312" s="28"/>
      <c r="E312" s="29"/>
      <c r="F312" s="29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</row>
    <row r="313">
      <c r="B313" s="28"/>
      <c r="C313" s="28"/>
      <c r="D313" s="28"/>
      <c r="E313" s="29"/>
      <c r="F313" s="29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</row>
    <row r="314">
      <c r="B314" s="28"/>
      <c r="C314" s="28"/>
      <c r="D314" s="28"/>
      <c r="E314" s="29"/>
      <c r="F314" s="29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</row>
    <row r="315">
      <c r="B315" s="28"/>
      <c r="C315" s="28"/>
      <c r="D315" s="28"/>
      <c r="E315" s="29"/>
      <c r="F315" s="29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</row>
    <row r="316">
      <c r="B316" s="28"/>
      <c r="C316" s="28"/>
      <c r="D316" s="28"/>
      <c r="E316" s="29"/>
      <c r="F316" s="29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</row>
    <row r="317">
      <c r="B317" s="28"/>
      <c r="C317" s="28"/>
      <c r="D317" s="28"/>
      <c r="E317" s="29"/>
      <c r="F317" s="29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</row>
    <row r="318">
      <c r="B318" s="28"/>
      <c r="C318" s="28"/>
      <c r="D318" s="28"/>
      <c r="E318" s="29"/>
      <c r="F318" s="29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</row>
    <row r="319">
      <c r="B319" s="28"/>
      <c r="C319" s="28"/>
      <c r="D319" s="28"/>
      <c r="E319" s="29"/>
      <c r="F319" s="29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</row>
    <row r="320">
      <c r="B320" s="28"/>
      <c r="C320" s="28"/>
      <c r="D320" s="28"/>
      <c r="E320" s="29"/>
      <c r="F320" s="29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</row>
    <row r="321">
      <c r="B321" s="28"/>
      <c r="C321" s="28"/>
      <c r="D321" s="28"/>
      <c r="E321" s="29"/>
      <c r="F321" s="29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</row>
    <row r="322">
      <c r="B322" s="28"/>
      <c r="C322" s="28"/>
      <c r="D322" s="28"/>
      <c r="E322" s="29"/>
      <c r="F322" s="29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</row>
    <row r="323">
      <c r="B323" s="28"/>
      <c r="C323" s="28"/>
      <c r="D323" s="28"/>
      <c r="E323" s="29"/>
      <c r="F323" s="29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</row>
    <row r="324">
      <c r="B324" s="28"/>
      <c r="C324" s="28"/>
      <c r="D324" s="28"/>
      <c r="E324" s="29"/>
      <c r="F324" s="29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</row>
    <row r="325">
      <c r="B325" s="28"/>
      <c r="C325" s="28"/>
      <c r="D325" s="28"/>
      <c r="E325" s="29"/>
      <c r="F325" s="29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</row>
    <row r="326">
      <c r="B326" s="28"/>
      <c r="C326" s="28"/>
      <c r="D326" s="28"/>
      <c r="E326" s="29"/>
      <c r="F326" s="29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</row>
    <row r="327">
      <c r="B327" s="28"/>
      <c r="C327" s="28"/>
      <c r="D327" s="28"/>
      <c r="E327" s="29"/>
      <c r="F327" s="29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</row>
    <row r="328">
      <c r="B328" s="28"/>
      <c r="C328" s="28"/>
      <c r="D328" s="28"/>
      <c r="E328" s="29"/>
      <c r="F328" s="29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</row>
    <row r="329">
      <c r="B329" s="28"/>
      <c r="C329" s="28"/>
      <c r="D329" s="28"/>
      <c r="E329" s="29"/>
      <c r="F329" s="29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</row>
    <row r="330">
      <c r="B330" s="28"/>
      <c r="C330" s="28"/>
      <c r="D330" s="28"/>
      <c r="E330" s="29"/>
      <c r="F330" s="29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</row>
    <row r="331">
      <c r="B331" s="28"/>
      <c r="C331" s="28"/>
      <c r="D331" s="28"/>
      <c r="E331" s="29"/>
      <c r="F331" s="29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</row>
    <row r="332">
      <c r="B332" s="28"/>
      <c r="C332" s="28"/>
      <c r="D332" s="28"/>
      <c r="E332" s="29"/>
      <c r="F332" s="29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</row>
    <row r="333">
      <c r="B333" s="28"/>
      <c r="C333" s="28"/>
      <c r="D333" s="28"/>
      <c r="E333" s="29"/>
      <c r="F333" s="29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</row>
    <row r="334">
      <c r="B334" s="28"/>
      <c r="C334" s="28"/>
      <c r="D334" s="28"/>
      <c r="E334" s="29"/>
      <c r="F334" s="29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</row>
    <row r="335">
      <c r="B335" s="28"/>
      <c r="C335" s="28"/>
      <c r="D335" s="28"/>
      <c r="E335" s="29"/>
      <c r="F335" s="29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</row>
    <row r="336">
      <c r="B336" s="28"/>
      <c r="C336" s="28"/>
      <c r="D336" s="28"/>
      <c r="E336" s="29"/>
      <c r="F336" s="29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</row>
    <row r="337">
      <c r="B337" s="28"/>
      <c r="C337" s="28"/>
      <c r="D337" s="28"/>
      <c r="E337" s="29"/>
      <c r="F337" s="29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</row>
    <row r="338">
      <c r="B338" s="28"/>
      <c r="C338" s="28"/>
      <c r="D338" s="28"/>
      <c r="E338" s="29"/>
      <c r="F338" s="29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</row>
    <row r="339">
      <c r="B339" s="28"/>
      <c r="C339" s="28"/>
      <c r="D339" s="28"/>
      <c r="E339" s="29"/>
      <c r="F339" s="29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</row>
    <row r="340">
      <c r="B340" s="28"/>
      <c r="C340" s="28"/>
      <c r="D340" s="28"/>
      <c r="E340" s="29"/>
      <c r="F340" s="29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</row>
    <row r="341">
      <c r="B341" s="28"/>
      <c r="C341" s="28"/>
      <c r="D341" s="28"/>
      <c r="E341" s="29"/>
      <c r="F341" s="29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</row>
    <row r="342">
      <c r="B342" s="28"/>
      <c r="C342" s="28"/>
      <c r="D342" s="28"/>
      <c r="E342" s="29"/>
      <c r="F342" s="29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</row>
    <row r="343">
      <c r="B343" s="28"/>
      <c r="C343" s="28"/>
      <c r="D343" s="28"/>
      <c r="E343" s="29"/>
      <c r="F343" s="29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</row>
    <row r="344">
      <c r="B344" s="28"/>
      <c r="C344" s="28"/>
      <c r="D344" s="28"/>
      <c r="E344" s="29"/>
      <c r="F344" s="29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</row>
    <row r="345">
      <c r="B345" s="28"/>
      <c r="C345" s="28"/>
      <c r="D345" s="28"/>
      <c r="E345" s="29"/>
      <c r="F345" s="29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</row>
    <row r="346">
      <c r="B346" s="28"/>
      <c r="C346" s="28"/>
      <c r="D346" s="28"/>
      <c r="E346" s="29"/>
      <c r="F346" s="29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</row>
    <row r="347">
      <c r="B347" s="28"/>
      <c r="C347" s="28"/>
      <c r="D347" s="28"/>
      <c r="E347" s="29"/>
      <c r="F347" s="29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</row>
    <row r="348">
      <c r="B348" s="28"/>
      <c r="C348" s="28"/>
      <c r="D348" s="28"/>
      <c r="E348" s="29"/>
      <c r="F348" s="29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</row>
    <row r="349">
      <c r="B349" s="28"/>
      <c r="C349" s="28"/>
      <c r="D349" s="28"/>
      <c r="E349" s="29"/>
      <c r="F349" s="29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</row>
    <row r="350">
      <c r="B350" s="28"/>
      <c r="C350" s="28"/>
      <c r="D350" s="28"/>
      <c r="E350" s="29"/>
      <c r="F350" s="29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</row>
    <row r="351">
      <c r="B351" s="28"/>
      <c r="C351" s="28"/>
      <c r="D351" s="28"/>
      <c r="E351" s="29"/>
      <c r="F351" s="29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</row>
    <row r="352">
      <c r="B352" s="28"/>
      <c r="C352" s="28"/>
      <c r="D352" s="28"/>
      <c r="E352" s="29"/>
      <c r="F352" s="29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</row>
    <row r="353">
      <c r="B353" s="28"/>
      <c r="C353" s="28"/>
      <c r="D353" s="28"/>
      <c r="E353" s="29"/>
      <c r="F353" s="29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</row>
    <row r="354">
      <c r="B354" s="28"/>
      <c r="C354" s="28"/>
      <c r="D354" s="28"/>
      <c r="E354" s="29"/>
      <c r="F354" s="29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</row>
    <row r="355">
      <c r="B355" s="28"/>
      <c r="C355" s="28"/>
      <c r="D355" s="28"/>
      <c r="E355" s="29"/>
      <c r="F355" s="29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</row>
    <row r="356">
      <c r="B356" s="28"/>
      <c r="C356" s="28"/>
      <c r="D356" s="28"/>
      <c r="E356" s="29"/>
      <c r="F356" s="29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</row>
    <row r="357">
      <c r="B357" s="28"/>
      <c r="C357" s="28"/>
      <c r="D357" s="28"/>
      <c r="E357" s="29"/>
      <c r="F357" s="29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</row>
    <row r="358">
      <c r="B358" s="28"/>
      <c r="C358" s="28"/>
      <c r="D358" s="28"/>
      <c r="E358" s="29"/>
      <c r="F358" s="29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</row>
    <row r="359">
      <c r="B359" s="28"/>
      <c r="C359" s="28"/>
      <c r="D359" s="28"/>
      <c r="E359" s="29"/>
      <c r="F359" s="29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</row>
    <row r="360">
      <c r="B360" s="28"/>
      <c r="C360" s="28"/>
      <c r="D360" s="28"/>
      <c r="E360" s="29"/>
      <c r="F360" s="29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</row>
    <row r="361">
      <c r="B361" s="28"/>
      <c r="C361" s="28"/>
      <c r="D361" s="28"/>
      <c r="E361" s="29"/>
      <c r="F361" s="29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</row>
    <row r="362">
      <c r="B362" s="28"/>
      <c r="C362" s="28"/>
      <c r="D362" s="28"/>
      <c r="E362" s="29"/>
      <c r="F362" s="29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</row>
    <row r="363">
      <c r="B363" s="28"/>
      <c r="C363" s="28"/>
      <c r="D363" s="28"/>
      <c r="E363" s="29"/>
      <c r="F363" s="29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</row>
    <row r="364">
      <c r="B364" s="28"/>
      <c r="C364" s="28"/>
      <c r="D364" s="28"/>
      <c r="E364" s="29"/>
      <c r="F364" s="29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</row>
    <row r="365">
      <c r="B365" s="28"/>
      <c r="C365" s="28"/>
      <c r="D365" s="28"/>
      <c r="E365" s="29"/>
      <c r="F365" s="29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</row>
    <row r="366">
      <c r="B366" s="28"/>
      <c r="C366" s="28"/>
      <c r="D366" s="28"/>
      <c r="E366" s="29"/>
      <c r="F366" s="29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</row>
    <row r="367">
      <c r="B367" s="28"/>
      <c r="C367" s="28"/>
      <c r="D367" s="28"/>
      <c r="E367" s="29"/>
      <c r="F367" s="29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</row>
    <row r="368">
      <c r="B368" s="28"/>
      <c r="C368" s="28"/>
      <c r="D368" s="28"/>
      <c r="E368" s="29"/>
      <c r="F368" s="29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</row>
    <row r="369">
      <c r="B369" s="28"/>
      <c r="C369" s="28"/>
      <c r="D369" s="28"/>
      <c r="E369" s="29"/>
      <c r="F369" s="29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</row>
    <row r="370">
      <c r="B370" s="28"/>
      <c r="C370" s="28"/>
      <c r="D370" s="28"/>
      <c r="E370" s="29"/>
      <c r="F370" s="29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</row>
    <row r="371">
      <c r="B371" s="28"/>
      <c r="C371" s="28"/>
      <c r="D371" s="28"/>
      <c r="E371" s="29"/>
      <c r="F371" s="29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</row>
    <row r="372">
      <c r="B372" s="28"/>
      <c r="C372" s="28"/>
      <c r="D372" s="28"/>
      <c r="E372" s="29"/>
      <c r="F372" s="29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</row>
    <row r="373">
      <c r="B373" s="28"/>
      <c r="C373" s="28"/>
      <c r="D373" s="28"/>
      <c r="E373" s="29"/>
      <c r="F373" s="29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</row>
    <row r="374">
      <c r="B374" s="28"/>
      <c r="C374" s="28"/>
      <c r="D374" s="28"/>
      <c r="E374" s="29"/>
      <c r="F374" s="29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</row>
    <row r="375">
      <c r="B375" s="28"/>
      <c r="C375" s="28"/>
      <c r="D375" s="28"/>
      <c r="E375" s="29"/>
      <c r="F375" s="29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</row>
    <row r="376">
      <c r="B376" s="28"/>
      <c r="C376" s="28"/>
      <c r="D376" s="28"/>
      <c r="E376" s="29"/>
      <c r="F376" s="29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</row>
    <row r="377">
      <c r="B377" s="28"/>
      <c r="C377" s="28"/>
      <c r="D377" s="28"/>
      <c r="E377" s="29"/>
      <c r="F377" s="29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</row>
    <row r="378">
      <c r="B378" s="28"/>
      <c r="C378" s="28"/>
      <c r="D378" s="28"/>
      <c r="E378" s="29"/>
      <c r="F378" s="29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</row>
    <row r="379">
      <c r="B379" s="28"/>
      <c r="C379" s="28"/>
      <c r="D379" s="28"/>
      <c r="E379" s="29"/>
      <c r="F379" s="29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</row>
    <row r="380">
      <c r="B380" s="28"/>
      <c r="C380" s="28"/>
      <c r="D380" s="28"/>
      <c r="E380" s="29"/>
      <c r="F380" s="29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</row>
    <row r="381">
      <c r="B381" s="28"/>
      <c r="C381" s="28"/>
      <c r="D381" s="28"/>
      <c r="E381" s="29"/>
      <c r="F381" s="29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</row>
    <row r="382">
      <c r="B382" s="28"/>
      <c r="C382" s="28"/>
      <c r="D382" s="28"/>
      <c r="E382" s="29"/>
      <c r="F382" s="29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</row>
    <row r="383">
      <c r="B383" s="28"/>
      <c r="C383" s="28"/>
      <c r="D383" s="28"/>
      <c r="E383" s="29"/>
      <c r="F383" s="29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</row>
    <row r="384">
      <c r="B384" s="28"/>
      <c r="C384" s="28"/>
      <c r="D384" s="28"/>
      <c r="E384" s="29"/>
      <c r="F384" s="29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</row>
    <row r="385">
      <c r="B385" s="28"/>
      <c r="C385" s="28"/>
      <c r="D385" s="28"/>
      <c r="E385" s="29"/>
      <c r="F385" s="29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</row>
    <row r="386">
      <c r="B386" s="28"/>
      <c r="C386" s="28"/>
      <c r="D386" s="28"/>
      <c r="E386" s="29"/>
      <c r="F386" s="29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</row>
    <row r="387">
      <c r="B387" s="28"/>
      <c r="C387" s="28"/>
      <c r="D387" s="28"/>
      <c r="E387" s="29"/>
      <c r="F387" s="29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</row>
    <row r="388">
      <c r="B388" s="28"/>
      <c r="C388" s="28"/>
      <c r="D388" s="28"/>
      <c r="E388" s="29"/>
      <c r="F388" s="29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</row>
    <row r="389">
      <c r="B389" s="28"/>
      <c r="C389" s="28"/>
      <c r="D389" s="28"/>
      <c r="E389" s="29"/>
      <c r="F389" s="29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</row>
    <row r="390">
      <c r="B390" s="28"/>
      <c r="C390" s="28"/>
      <c r="D390" s="28"/>
      <c r="E390" s="29"/>
      <c r="F390" s="29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</row>
    <row r="391">
      <c r="B391" s="28"/>
      <c r="C391" s="28"/>
      <c r="D391" s="28"/>
      <c r="E391" s="29"/>
      <c r="F391" s="29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</row>
    <row r="392">
      <c r="B392" s="28"/>
      <c r="C392" s="28"/>
      <c r="D392" s="28"/>
      <c r="E392" s="29"/>
      <c r="F392" s="29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</row>
    <row r="393">
      <c r="B393" s="28"/>
      <c r="C393" s="28"/>
      <c r="D393" s="28"/>
      <c r="E393" s="29"/>
      <c r="F393" s="29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</row>
    <row r="394">
      <c r="B394" s="28"/>
      <c r="C394" s="28"/>
      <c r="D394" s="28"/>
      <c r="E394" s="29"/>
      <c r="F394" s="29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</row>
    <row r="395">
      <c r="B395" s="28"/>
      <c r="C395" s="28"/>
      <c r="D395" s="28"/>
      <c r="E395" s="29"/>
      <c r="F395" s="29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</row>
    <row r="396">
      <c r="B396" s="28"/>
      <c r="C396" s="28"/>
      <c r="D396" s="28"/>
      <c r="E396" s="29"/>
      <c r="F396" s="29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</row>
    <row r="397">
      <c r="B397" s="28"/>
      <c r="C397" s="28"/>
      <c r="D397" s="28"/>
      <c r="E397" s="29"/>
      <c r="F397" s="29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</row>
    <row r="398">
      <c r="B398" s="28"/>
      <c r="C398" s="28"/>
      <c r="D398" s="28"/>
      <c r="E398" s="29"/>
      <c r="F398" s="29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</row>
    <row r="399">
      <c r="B399" s="28"/>
      <c r="C399" s="28"/>
      <c r="D399" s="28"/>
      <c r="E399" s="29"/>
      <c r="F399" s="29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</row>
    <row r="400">
      <c r="B400" s="28"/>
      <c r="C400" s="28"/>
      <c r="D400" s="28"/>
      <c r="E400" s="29"/>
      <c r="F400" s="29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</row>
    <row r="401">
      <c r="B401" s="28"/>
      <c r="C401" s="28"/>
      <c r="D401" s="28"/>
      <c r="E401" s="29"/>
      <c r="F401" s="29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</row>
    <row r="402">
      <c r="B402" s="28"/>
      <c r="C402" s="28"/>
      <c r="D402" s="28"/>
      <c r="E402" s="29"/>
      <c r="F402" s="29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</row>
    <row r="403">
      <c r="B403" s="28"/>
      <c r="C403" s="28"/>
      <c r="D403" s="28"/>
      <c r="E403" s="29"/>
      <c r="F403" s="29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</row>
    <row r="404">
      <c r="B404" s="28"/>
      <c r="C404" s="28"/>
      <c r="D404" s="28"/>
      <c r="E404" s="29"/>
      <c r="F404" s="29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</row>
    <row r="405">
      <c r="B405" s="28"/>
      <c r="C405" s="28"/>
      <c r="D405" s="28"/>
      <c r="E405" s="29"/>
      <c r="F405" s="29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</row>
    <row r="406">
      <c r="B406" s="28"/>
      <c r="C406" s="28"/>
      <c r="D406" s="28"/>
      <c r="E406" s="29"/>
      <c r="F406" s="29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</row>
    <row r="407">
      <c r="B407" s="28"/>
      <c r="C407" s="28"/>
      <c r="D407" s="28"/>
      <c r="E407" s="29"/>
      <c r="F407" s="29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</row>
    <row r="408">
      <c r="B408" s="28"/>
      <c r="C408" s="28"/>
      <c r="D408" s="28"/>
      <c r="E408" s="29"/>
      <c r="F408" s="29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</row>
    <row r="409">
      <c r="B409" s="28"/>
      <c r="C409" s="28"/>
      <c r="D409" s="28"/>
      <c r="E409" s="29"/>
      <c r="F409" s="29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</row>
    <row r="410">
      <c r="B410" s="28"/>
      <c r="C410" s="28"/>
      <c r="D410" s="28"/>
      <c r="E410" s="29"/>
      <c r="F410" s="29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</row>
    <row r="411">
      <c r="B411" s="28"/>
      <c r="C411" s="28"/>
      <c r="D411" s="28"/>
      <c r="E411" s="29"/>
      <c r="F411" s="29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</row>
    <row r="412">
      <c r="B412" s="28"/>
      <c r="C412" s="28"/>
      <c r="D412" s="28"/>
      <c r="E412" s="29"/>
      <c r="F412" s="29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</row>
    <row r="413">
      <c r="B413" s="28"/>
      <c r="C413" s="28"/>
      <c r="D413" s="28"/>
      <c r="E413" s="29"/>
      <c r="F413" s="29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</row>
    <row r="414">
      <c r="B414" s="28"/>
      <c r="C414" s="28"/>
      <c r="D414" s="28"/>
      <c r="E414" s="29"/>
      <c r="F414" s="29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</row>
    <row r="415">
      <c r="B415" s="28"/>
      <c r="C415" s="28"/>
      <c r="D415" s="28"/>
      <c r="E415" s="29"/>
      <c r="F415" s="29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</row>
    <row r="416">
      <c r="B416" s="28"/>
      <c r="C416" s="28"/>
      <c r="D416" s="28"/>
      <c r="E416" s="29"/>
      <c r="F416" s="29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</row>
    <row r="417">
      <c r="B417" s="28"/>
      <c r="C417" s="28"/>
      <c r="D417" s="28"/>
      <c r="E417" s="29"/>
      <c r="F417" s="29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</row>
    <row r="418">
      <c r="B418" s="28"/>
      <c r="C418" s="28"/>
      <c r="D418" s="28"/>
      <c r="E418" s="29"/>
      <c r="F418" s="29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</row>
    <row r="419">
      <c r="B419" s="28"/>
      <c r="C419" s="28"/>
      <c r="D419" s="28"/>
      <c r="E419" s="29"/>
      <c r="F419" s="29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</row>
    <row r="420">
      <c r="B420" s="28"/>
      <c r="C420" s="28"/>
      <c r="D420" s="28"/>
      <c r="E420" s="29"/>
      <c r="F420" s="29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</row>
    <row r="421">
      <c r="B421" s="28"/>
      <c r="C421" s="28"/>
      <c r="D421" s="28"/>
      <c r="E421" s="29"/>
      <c r="F421" s="29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</row>
    <row r="422">
      <c r="B422" s="28"/>
      <c r="C422" s="28"/>
      <c r="D422" s="28"/>
      <c r="E422" s="29"/>
      <c r="F422" s="29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</row>
    <row r="423">
      <c r="B423" s="28"/>
      <c r="C423" s="28"/>
      <c r="D423" s="28"/>
      <c r="E423" s="29"/>
      <c r="F423" s="29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</row>
    <row r="424">
      <c r="B424" s="28"/>
      <c r="C424" s="28"/>
      <c r="D424" s="28"/>
      <c r="E424" s="29"/>
      <c r="F424" s="29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</row>
    <row r="425">
      <c r="B425" s="28"/>
      <c r="C425" s="28"/>
      <c r="D425" s="28"/>
      <c r="E425" s="29"/>
      <c r="F425" s="29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</row>
    <row r="426">
      <c r="B426" s="28"/>
      <c r="C426" s="28"/>
      <c r="D426" s="28"/>
      <c r="E426" s="29"/>
      <c r="F426" s="29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</row>
    <row r="427">
      <c r="B427" s="28"/>
      <c r="C427" s="28"/>
      <c r="D427" s="28"/>
      <c r="E427" s="29"/>
      <c r="F427" s="29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</row>
    <row r="428">
      <c r="B428" s="28"/>
      <c r="C428" s="28"/>
      <c r="D428" s="28"/>
      <c r="E428" s="29"/>
      <c r="F428" s="29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</row>
    <row r="429">
      <c r="B429" s="28"/>
      <c r="C429" s="28"/>
      <c r="D429" s="28"/>
      <c r="E429" s="29"/>
      <c r="F429" s="29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</row>
    <row r="430">
      <c r="B430" s="28"/>
      <c r="C430" s="28"/>
      <c r="D430" s="28"/>
      <c r="E430" s="29"/>
      <c r="F430" s="29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</row>
    <row r="431">
      <c r="B431" s="28"/>
      <c r="C431" s="28"/>
      <c r="D431" s="28"/>
      <c r="E431" s="29"/>
      <c r="F431" s="29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</row>
    <row r="432">
      <c r="B432" s="28"/>
      <c r="C432" s="28"/>
      <c r="D432" s="28"/>
      <c r="E432" s="29"/>
      <c r="F432" s="29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</row>
    <row r="433">
      <c r="B433" s="28"/>
      <c r="C433" s="28"/>
      <c r="D433" s="28"/>
      <c r="E433" s="29"/>
      <c r="F433" s="29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</row>
    <row r="434">
      <c r="B434" s="28"/>
      <c r="C434" s="28"/>
      <c r="D434" s="28"/>
      <c r="E434" s="29"/>
      <c r="F434" s="29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</row>
    <row r="435">
      <c r="B435" s="28"/>
      <c r="C435" s="28"/>
      <c r="D435" s="28"/>
      <c r="E435" s="29"/>
      <c r="F435" s="29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</row>
    <row r="436">
      <c r="B436" s="28"/>
      <c r="C436" s="28"/>
      <c r="D436" s="28"/>
      <c r="E436" s="29"/>
      <c r="F436" s="29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</row>
    <row r="437">
      <c r="B437" s="28"/>
      <c r="C437" s="28"/>
      <c r="D437" s="28"/>
      <c r="E437" s="29"/>
      <c r="F437" s="29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</row>
    <row r="438">
      <c r="B438" s="28"/>
      <c r="C438" s="28"/>
      <c r="D438" s="28"/>
      <c r="E438" s="29"/>
      <c r="F438" s="29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</row>
    <row r="439">
      <c r="B439" s="28"/>
      <c r="C439" s="28"/>
      <c r="D439" s="28"/>
      <c r="E439" s="29"/>
      <c r="F439" s="29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</row>
    <row r="440">
      <c r="B440" s="28"/>
      <c r="C440" s="28"/>
      <c r="D440" s="28"/>
      <c r="E440" s="29"/>
      <c r="F440" s="29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</row>
    <row r="441">
      <c r="B441" s="28"/>
      <c r="C441" s="28"/>
      <c r="D441" s="28"/>
      <c r="E441" s="29"/>
      <c r="F441" s="29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</row>
    <row r="442">
      <c r="B442" s="28"/>
      <c r="C442" s="28"/>
      <c r="D442" s="28"/>
      <c r="E442" s="29"/>
      <c r="F442" s="29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</row>
    <row r="443">
      <c r="B443" s="28"/>
      <c r="C443" s="28"/>
      <c r="D443" s="28"/>
      <c r="E443" s="29"/>
      <c r="F443" s="29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</row>
    <row r="444">
      <c r="B444" s="28"/>
      <c r="C444" s="28"/>
      <c r="D444" s="28"/>
      <c r="E444" s="29"/>
      <c r="F444" s="29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</row>
    <row r="445">
      <c r="B445" s="28"/>
      <c r="C445" s="28"/>
      <c r="D445" s="28"/>
      <c r="E445" s="29"/>
      <c r="F445" s="29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</row>
    <row r="446">
      <c r="B446" s="28"/>
      <c r="C446" s="28"/>
      <c r="D446" s="28"/>
      <c r="E446" s="29"/>
      <c r="F446" s="29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</row>
    <row r="447">
      <c r="B447" s="28"/>
      <c r="C447" s="28"/>
      <c r="D447" s="28"/>
      <c r="E447" s="29"/>
      <c r="F447" s="29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</row>
    <row r="448">
      <c r="B448" s="28"/>
      <c r="C448" s="28"/>
      <c r="D448" s="28"/>
      <c r="E448" s="29"/>
      <c r="F448" s="29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</row>
    <row r="449">
      <c r="B449" s="28"/>
      <c r="C449" s="28"/>
      <c r="D449" s="28"/>
      <c r="E449" s="29"/>
      <c r="F449" s="29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</row>
    <row r="450">
      <c r="B450" s="28"/>
      <c r="C450" s="28"/>
      <c r="D450" s="28"/>
      <c r="E450" s="29"/>
      <c r="F450" s="29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</row>
    <row r="451">
      <c r="B451" s="28"/>
      <c r="C451" s="28"/>
      <c r="D451" s="28"/>
      <c r="E451" s="29"/>
      <c r="F451" s="29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</row>
  </sheetData>
  <mergeCells count="20">
    <mergeCell ref="G2:G3"/>
    <mergeCell ref="H2:H3"/>
    <mergeCell ref="I2:I3"/>
    <mergeCell ref="J2:J3"/>
    <mergeCell ref="K2:K3"/>
    <mergeCell ref="L2:N2"/>
    <mergeCell ref="O2:O3"/>
    <mergeCell ref="P2:P3"/>
    <mergeCell ref="Q2:Q3"/>
    <mergeCell ref="R2:R3"/>
    <mergeCell ref="S2:S3"/>
    <mergeCell ref="T2:T3"/>
    <mergeCell ref="A1:U1"/>
    <mergeCell ref="A2:A3"/>
    <mergeCell ref="B2:B3"/>
    <mergeCell ref="C2:C3"/>
    <mergeCell ref="D2:D3"/>
    <mergeCell ref="E2:E3"/>
    <mergeCell ref="F2:F3"/>
    <mergeCell ref="U2:U3"/>
  </mergeCells>
  <hyperlinks>
    <hyperlink r:id="rId2" ref="A29"/>
    <hyperlink r:id="rId3" ref="A30"/>
  </hyperlinks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5.14"/>
    <col customWidth="1" min="2" max="2" width="8.71"/>
    <col customWidth="1" min="3" max="3" width="8.0"/>
    <col customWidth="1" min="4" max="5" width="10.14"/>
    <col customWidth="1" min="6" max="6" width="11.57"/>
    <col customWidth="1" min="7" max="7" width="7.29"/>
    <col customWidth="1" min="8" max="8" width="8.0"/>
    <col customWidth="1" min="9" max="9" width="10.86"/>
    <col customWidth="1" min="10" max="10" width="15.29"/>
    <col customWidth="1" min="11" max="11" width="14.43"/>
    <col customWidth="1" min="12" max="12" width="10.29"/>
    <col customWidth="1" min="13" max="14" width="14.43"/>
    <col customWidth="1" min="15" max="19" width="7.29"/>
    <col customWidth="1" min="20" max="20" width="10.14"/>
  </cols>
  <sheetData>
    <row r="1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1" t="s">
        <v>12</v>
      </c>
      <c r="M2" s="2"/>
      <c r="N2" s="3"/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 t="s">
        <v>20</v>
      </c>
      <c r="M3" s="8" t="s">
        <v>21</v>
      </c>
      <c r="N3" s="8" t="s">
        <v>22</v>
      </c>
      <c r="O3" s="7"/>
      <c r="P3" s="7"/>
      <c r="Q3" s="7"/>
      <c r="R3" s="7"/>
      <c r="S3" s="7"/>
      <c r="T3" s="7"/>
      <c r="U3" s="7"/>
    </row>
    <row r="4">
      <c r="A4" s="9" t="str">
        <f>HYPERLINK("https://docs.google.com/spreadsheets/d/1w0I5RoQ7uENhUG1ncC5V9B3b6BQapplx180-f9F9s4w/edit?usp=sharing","Rob Cesternino")</f>
        <v>Rob Cesternino</v>
      </c>
      <c r="B4" s="10">
        <v>6.0</v>
      </c>
      <c r="C4" s="10">
        <v>104.0</v>
      </c>
      <c r="D4" s="10">
        <v>13.0</v>
      </c>
      <c r="E4" s="11">
        <v>8.0</v>
      </c>
      <c r="F4" s="12">
        <v>0.214</v>
      </c>
      <c r="G4" s="10">
        <v>38.0</v>
      </c>
      <c r="H4" s="10" t="s">
        <v>23</v>
      </c>
      <c r="I4" s="10" t="s">
        <v>9</v>
      </c>
      <c r="J4" s="10" t="s">
        <v>24</v>
      </c>
      <c r="K4" s="10" t="s">
        <v>25</v>
      </c>
      <c r="L4" s="13">
        <v>5.0</v>
      </c>
      <c r="M4" s="13">
        <v>3.0</v>
      </c>
      <c r="N4" s="13">
        <v>1.0</v>
      </c>
      <c r="O4" s="13">
        <v>11.0</v>
      </c>
      <c r="P4" s="10" t="s">
        <v>23</v>
      </c>
      <c r="Q4" s="10" t="s">
        <v>23</v>
      </c>
      <c r="R4" s="10"/>
      <c r="S4" s="10" t="s">
        <v>23</v>
      </c>
      <c r="T4" s="10"/>
      <c r="U4" s="10" t="s">
        <v>23</v>
      </c>
    </row>
    <row r="5">
      <c r="A5" s="9" t="str">
        <f>HYPERLINK("https://docs.google.com/spreadsheets/d/1nRsx7fR5xbH1eAbI_vBDvqXOgh7mXIwmZNhzrVL6oGM/edit?usp=sharing","Kathy Vavrick-O'Brien")</f>
        <v>Kathy Vavrick-O'Brien</v>
      </c>
      <c r="B5" s="10">
        <v>4.0</v>
      </c>
      <c r="C5" s="10">
        <v>84.0</v>
      </c>
      <c r="D5" s="10">
        <v>13.0</v>
      </c>
      <c r="E5" s="11">
        <v>6.46</v>
      </c>
      <c r="F5" s="12">
        <v>0.1757</v>
      </c>
      <c r="G5" s="10">
        <v>38.0</v>
      </c>
      <c r="H5" s="10">
        <v>1.0</v>
      </c>
      <c r="I5" s="10" t="s">
        <v>9</v>
      </c>
      <c r="J5" s="10" t="s">
        <v>24</v>
      </c>
      <c r="K5" s="10" t="s">
        <v>25</v>
      </c>
      <c r="L5" s="13">
        <v>7.0</v>
      </c>
      <c r="M5" s="13">
        <v>4.0</v>
      </c>
      <c r="N5" s="13">
        <v>2.0</v>
      </c>
      <c r="O5" s="13">
        <v>10.0</v>
      </c>
      <c r="P5" s="10" t="s">
        <v>23</v>
      </c>
      <c r="Q5" s="10" t="s">
        <v>23</v>
      </c>
      <c r="R5" s="10"/>
      <c r="S5" s="10" t="s">
        <v>23</v>
      </c>
      <c r="T5" s="10"/>
      <c r="U5" s="10" t="s">
        <v>23</v>
      </c>
    </row>
    <row r="6">
      <c r="A6" s="9" t="str">
        <f>HYPERLINK("https://docs.google.com/spreadsheets/d/1EZNO7rY3X3GsqJDX9iY8RpZJJDJ-K4nm_Mxm1g397N0/edit?usp=sharing","Lex van den Berghe")</f>
        <v>Lex van den Berghe</v>
      </c>
      <c r="B6" s="10">
        <v>3.0</v>
      </c>
      <c r="C6" s="10">
        <v>81.0</v>
      </c>
      <c r="D6" s="10">
        <v>13.0</v>
      </c>
      <c r="E6" s="11">
        <v>6.23</v>
      </c>
      <c r="F6" s="12">
        <v>0.162</v>
      </c>
      <c r="G6" s="10">
        <v>38.0</v>
      </c>
      <c r="H6" s="10" t="s">
        <v>23</v>
      </c>
      <c r="I6" s="10" t="s">
        <v>9</v>
      </c>
      <c r="J6" s="10" t="s">
        <v>24</v>
      </c>
      <c r="K6" s="10" t="s">
        <v>25</v>
      </c>
      <c r="L6" s="13">
        <v>7.0</v>
      </c>
      <c r="M6" s="13">
        <v>3.0</v>
      </c>
      <c r="N6" s="13">
        <v>3.0</v>
      </c>
      <c r="O6" s="13">
        <v>11.0</v>
      </c>
      <c r="P6" s="10" t="s">
        <v>23</v>
      </c>
      <c r="Q6" s="10" t="s">
        <v>23</v>
      </c>
      <c r="R6" s="10"/>
      <c r="S6" s="10" t="s">
        <v>23</v>
      </c>
      <c r="T6" s="10"/>
      <c r="U6" s="10" t="s">
        <v>23</v>
      </c>
    </row>
    <row r="7">
      <c r="A7" s="9" t="str">
        <f>HYPERLINK("https://docs.google.com/spreadsheets/d/14eN4V4imd53x81UQVckjyAx_2xIFGXJ8NE4XmE1oDkg/edit?usp=sharing","Susan Hawk")</f>
        <v>Susan Hawk</v>
      </c>
      <c r="B7" s="10">
        <v>1.0</v>
      </c>
      <c r="C7" s="10">
        <v>71.0</v>
      </c>
      <c r="D7" s="10">
        <v>13.0</v>
      </c>
      <c r="E7" s="11">
        <v>5.46</v>
      </c>
      <c r="F7" s="14">
        <v>0.1081</v>
      </c>
      <c r="G7" s="10">
        <v>37.0</v>
      </c>
      <c r="H7" s="10" t="s">
        <v>23</v>
      </c>
      <c r="I7" s="10" t="s">
        <v>9</v>
      </c>
      <c r="J7" s="10" t="s">
        <v>37</v>
      </c>
      <c r="K7" s="10" t="s">
        <v>38</v>
      </c>
      <c r="L7" s="13">
        <v>2.0</v>
      </c>
      <c r="M7" s="13">
        <v>3.0</v>
      </c>
      <c r="N7" s="13" t="s">
        <v>23</v>
      </c>
      <c r="O7" s="13">
        <v>10.0</v>
      </c>
      <c r="P7" s="10" t="s">
        <v>23</v>
      </c>
      <c r="Q7" s="10" t="s">
        <v>23</v>
      </c>
      <c r="R7" s="10"/>
      <c r="S7" s="10" t="s">
        <v>23</v>
      </c>
      <c r="T7" s="10"/>
      <c r="U7" s="10" t="s">
        <v>23</v>
      </c>
    </row>
    <row r="8">
      <c r="A8" s="9" t="str">
        <f>HYPERLINK("https://docs.google.com/spreadsheets/d/18wmIvmUS3SeZNSPQeUzr6sPl9GBYpVSlOaFR_kJCmKo/edit?usp=sharing","Keith Famie")</f>
        <v>Keith Famie</v>
      </c>
      <c r="B8" s="10">
        <v>2.0</v>
      </c>
      <c r="C8" s="10">
        <v>70.0</v>
      </c>
      <c r="D8" s="10">
        <v>14.0</v>
      </c>
      <c r="E8" s="11">
        <v>5.0</v>
      </c>
      <c r="F8" s="12">
        <v>0.1248</v>
      </c>
      <c r="G8" s="10">
        <v>41.0</v>
      </c>
      <c r="H8" s="10" t="s">
        <v>23</v>
      </c>
      <c r="I8" s="10" t="s">
        <v>9</v>
      </c>
      <c r="J8" s="10" t="s">
        <v>24</v>
      </c>
      <c r="K8" s="10" t="s">
        <v>25</v>
      </c>
      <c r="L8" s="13">
        <v>4.0</v>
      </c>
      <c r="M8" s="13">
        <v>2.0</v>
      </c>
      <c r="N8" s="13">
        <v>2.0</v>
      </c>
      <c r="O8" s="13">
        <v>11.0</v>
      </c>
      <c r="P8" s="10" t="s">
        <v>23</v>
      </c>
      <c r="Q8" s="10" t="s">
        <v>23</v>
      </c>
      <c r="R8" s="10"/>
      <c r="S8" s="10" t="s">
        <v>23</v>
      </c>
      <c r="T8" s="10"/>
      <c r="U8" s="10" t="s">
        <v>23</v>
      </c>
    </row>
    <row r="9">
      <c r="A9" s="9" t="str">
        <f>HYPERLINK("https://docs.google.com/spreadsheets/d/1y7awzkkkaNlh7XKjc44AGriTvqB9H3pVz8cFLyIYdbo/edit?usp=sharing","Spencer Bledsoe")</f>
        <v>Spencer Bledsoe</v>
      </c>
      <c r="B9" s="10">
        <v>28.0</v>
      </c>
      <c r="C9" s="10">
        <v>67.0</v>
      </c>
      <c r="D9" s="10">
        <v>14.0</v>
      </c>
      <c r="E9" s="11">
        <v>4.79</v>
      </c>
      <c r="F9" s="12">
        <v>0.146</v>
      </c>
      <c r="G9" s="10">
        <v>37.0</v>
      </c>
      <c r="H9" s="10" t="s">
        <v>23</v>
      </c>
      <c r="I9" s="10" t="s">
        <v>9</v>
      </c>
      <c r="J9" s="10" t="s">
        <v>40</v>
      </c>
      <c r="K9" s="10" t="s">
        <v>41</v>
      </c>
      <c r="L9" s="13">
        <v>6.0</v>
      </c>
      <c r="M9" s="13">
        <v>2.0</v>
      </c>
      <c r="N9" s="13">
        <v>3.0</v>
      </c>
      <c r="O9" s="13">
        <v>12.0</v>
      </c>
      <c r="P9" s="10" t="s">
        <v>23</v>
      </c>
      <c r="Q9" s="10" t="s">
        <v>23</v>
      </c>
      <c r="R9" s="10"/>
      <c r="S9" s="10">
        <v>1.0</v>
      </c>
      <c r="T9" s="10"/>
      <c r="U9" s="10" t="s">
        <v>23</v>
      </c>
    </row>
    <row r="10">
      <c r="A10" s="9" t="str">
        <f>HYPERLINK("https://docs.google.com/spreadsheets/d/1ReMaq-fM8zzflOjjrMrgnxEsdZxPIPIJqiZ9cCLO3cE/edit?usp=sharing","Malcolm Freberg")</f>
        <v>Malcolm Freberg</v>
      </c>
      <c r="B10" s="10">
        <v>25.0</v>
      </c>
      <c r="C10" s="10">
        <v>66.0</v>
      </c>
      <c r="D10" s="10">
        <v>14.0</v>
      </c>
      <c r="E10" s="11">
        <v>4.71</v>
      </c>
      <c r="F10" s="12">
        <v>0.1517</v>
      </c>
      <c r="G10" s="10">
        <v>38.0</v>
      </c>
      <c r="H10" s="10">
        <v>1.0</v>
      </c>
      <c r="I10" s="10" t="s">
        <v>9</v>
      </c>
      <c r="J10" s="10" t="s">
        <v>40</v>
      </c>
      <c r="K10" s="10" t="s">
        <v>41</v>
      </c>
      <c r="L10" s="13">
        <v>9.0</v>
      </c>
      <c r="M10" s="13">
        <v>2.0</v>
      </c>
      <c r="N10" s="13">
        <v>2.0</v>
      </c>
      <c r="O10" s="13">
        <v>12.0</v>
      </c>
      <c r="P10" s="10" t="s">
        <v>23</v>
      </c>
      <c r="Q10" s="10" t="s">
        <v>23</v>
      </c>
      <c r="R10" s="10"/>
      <c r="S10" s="10">
        <v>1.0</v>
      </c>
      <c r="T10" s="10"/>
      <c r="U10" s="10" t="s">
        <v>23</v>
      </c>
    </row>
    <row r="11">
      <c r="A11" s="15" t="str">
        <f>HYPERLINK("https://docs.google.com/spreadsheets/d/1VEbyebFdBtPJKQC_U2uGrW6_v1fn6Hsoz3YYLyCxHR0/edit?usp=sharing","Cirie Fields")</f>
        <v>Cirie Fields</v>
      </c>
      <c r="B11" s="13">
        <v>12.0</v>
      </c>
      <c r="C11" s="13">
        <v>65.0</v>
      </c>
      <c r="D11" s="13">
        <v>13.0</v>
      </c>
      <c r="E11" s="16">
        <v>5.0</v>
      </c>
      <c r="F11" s="17">
        <v>0.0099</v>
      </c>
      <c r="G11" s="13">
        <v>36.0</v>
      </c>
      <c r="H11" s="13" t="s">
        <v>23</v>
      </c>
      <c r="I11" s="13" t="s">
        <v>9</v>
      </c>
      <c r="J11" s="13" t="s">
        <v>37</v>
      </c>
      <c r="K11" s="13" t="s">
        <v>38</v>
      </c>
      <c r="L11" s="13">
        <v>8.0</v>
      </c>
      <c r="M11" s="13">
        <v>3.0</v>
      </c>
      <c r="N11" s="13" t="s">
        <v>23</v>
      </c>
      <c r="O11" s="13">
        <v>9.0</v>
      </c>
      <c r="P11" s="13" t="s">
        <v>23</v>
      </c>
      <c r="Q11" s="13" t="s">
        <v>23</v>
      </c>
      <c r="R11" s="13"/>
      <c r="S11" s="13" t="s">
        <v>23</v>
      </c>
      <c r="T11" s="13" t="s">
        <v>23</v>
      </c>
      <c r="U11" s="13" t="s">
        <v>23</v>
      </c>
    </row>
    <row r="12">
      <c r="A12" s="15" t="str">
        <f>HYPERLINK("https://docs.google.com/spreadsheets/d/1d8Hzm_QCJnDef8NF_dVYBZLjLjFI3Fl8Yt14m8Zhn8Y/edit?usp=sharing","Stephenie LaGrossa")</f>
        <v>Stephenie LaGrossa</v>
      </c>
      <c r="B12" s="13">
        <v>10.0</v>
      </c>
      <c r="C12" s="13">
        <v>64.0</v>
      </c>
      <c r="D12" s="13">
        <v>11.0</v>
      </c>
      <c r="E12" s="16">
        <v>5.82</v>
      </c>
      <c r="F12" s="17">
        <v>0.1499</v>
      </c>
      <c r="G12" s="13">
        <v>30.0</v>
      </c>
      <c r="H12" s="13" t="s">
        <v>23</v>
      </c>
      <c r="I12" s="13" t="s">
        <v>42</v>
      </c>
      <c r="J12" s="13" t="s">
        <v>43</v>
      </c>
      <c r="K12" s="13" t="s">
        <v>44</v>
      </c>
      <c r="L12" s="13">
        <v>5.0</v>
      </c>
      <c r="M12" s="13" t="s">
        <v>23</v>
      </c>
      <c r="N12" s="13" t="s">
        <v>23</v>
      </c>
      <c r="O12" s="13">
        <v>11.0</v>
      </c>
      <c r="P12" s="13" t="s">
        <v>23</v>
      </c>
      <c r="Q12" s="13" t="s">
        <v>23</v>
      </c>
      <c r="R12" s="13"/>
      <c r="S12" s="13" t="s">
        <v>23</v>
      </c>
      <c r="T12" s="13" t="s">
        <v>23</v>
      </c>
      <c r="U12" s="13" t="s">
        <v>23</v>
      </c>
    </row>
    <row r="13">
      <c r="A13" s="19" t="str">
        <f>HYPERLINK("https://docs.google.com/spreadsheets/d/1TniiK35-AGMNddj9lkge_tT9QfOGXMfX2thnTv8npTo/edit?usp=sharing","Helen Glover")</f>
        <v>Helen Glover</v>
      </c>
      <c r="B13" s="20">
        <v>5.0</v>
      </c>
      <c r="C13" s="21">
        <v>63.0</v>
      </c>
      <c r="D13" s="20">
        <v>13.0</v>
      </c>
      <c r="E13" s="22">
        <v>4.85</v>
      </c>
      <c r="F13" s="14">
        <v>0.1304</v>
      </c>
      <c r="G13" s="21">
        <v>37.0</v>
      </c>
      <c r="H13" s="21" t="s">
        <v>23</v>
      </c>
      <c r="I13" s="10" t="s">
        <v>9</v>
      </c>
      <c r="J13" s="21" t="s">
        <v>37</v>
      </c>
      <c r="K13" s="20" t="s">
        <v>38</v>
      </c>
      <c r="L13" s="13">
        <v>5.0</v>
      </c>
      <c r="M13" s="13">
        <v>5.0</v>
      </c>
      <c r="N13" s="13">
        <v>1.0</v>
      </c>
      <c r="O13" s="13">
        <v>8.0</v>
      </c>
      <c r="P13" s="10" t="s">
        <v>23</v>
      </c>
      <c r="Q13" s="10" t="s">
        <v>23</v>
      </c>
      <c r="R13" s="10"/>
      <c r="S13" s="10" t="s">
        <v>23</v>
      </c>
      <c r="T13" s="10"/>
      <c r="U13" s="10" t="s">
        <v>23</v>
      </c>
    </row>
    <row r="14">
      <c r="A14" s="9" t="str">
        <f>HYPERLINK("https://docs.google.com/spreadsheets/d/1y7awzkkkaNlh7XKjc44AGriTvqB9H3pVz8cFLyIYdbo/edit?usp=sharing","Kass McQuillen")</f>
        <v>Kass McQuillen</v>
      </c>
      <c r="B14" s="10">
        <v>28.0</v>
      </c>
      <c r="C14" s="10">
        <v>62.0</v>
      </c>
      <c r="D14" s="10">
        <v>14.0</v>
      </c>
      <c r="E14" s="11">
        <v>4.43</v>
      </c>
      <c r="F14" s="12">
        <v>0.1351</v>
      </c>
      <c r="G14" s="10">
        <v>38.0</v>
      </c>
      <c r="H14" s="10" t="s">
        <v>23</v>
      </c>
      <c r="I14" s="10" t="s">
        <v>9</v>
      </c>
      <c r="J14" s="10" t="s">
        <v>45</v>
      </c>
      <c r="K14" s="10" t="s">
        <v>34</v>
      </c>
      <c r="L14" s="13">
        <v>4.0</v>
      </c>
      <c r="M14" s="13">
        <v>2.0</v>
      </c>
      <c r="N14" s="13">
        <v>1.0</v>
      </c>
      <c r="O14" s="13">
        <v>13.0</v>
      </c>
      <c r="P14" s="10" t="s">
        <v>23</v>
      </c>
      <c r="Q14" s="10" t="s">
        <v>23</v>
      </c>
      <c r="R14" s="10"/>
      <c r="S14" s="10" t="s">
        <v>23</v>
      </c>
      <c r="T14" s="10"/>
      <c r="U14" s="10" t="s">
        <v>23</v>
      </c>
    </row>
    <row r="15">
      <c r="A15" s="9" t="str">
        <f>HYPERLINK("https://docs.google.com/spreadsheets/d/1tPYt5CqjX32YXnh0BRsechvszEP2n4_ePabpiRTSzqE/edit?usp=sharing","Rupert Boneham")</f>
        <v>Rupert Boneham</v>
      </c>
      <c r="B15" s="10">
        <v>7.0</v>
      </c>
      <c r="C15" s="10">
        <v>61.0</v>
      </c>
      <c r="D15" s="10">
        <v>10.0</v>
      </c>
      <c r="E15" s="11">
        <v>6.1</v>
      </c>
      <c r="F15" s="12">
        <v>0.1218</v>
      </c>
      <c r="G15" s="10">
        <v>27.0</v>
      </c>
      <c r="H15" s="10" t="s">
        <v>23</v>
      </c>
      <c r="I15" s="10" t="s">
        <v>9</v>
      </c>
      <c r="J15" s="10" t="s">
        <v>48</v>
      </c>
      <c r="K15" s="10" t="s">
        <v>49</v>
      </c>
      <c r="L15" s="13">
        <v>4.0</v>
      </c>
      <c r="M15" s="13">
        <v>3.0</v>
      </c>
      <c r="N15" s="13">
        <v>1.0</v>
      </c>
      <c r="O15" s="13">
        <v>6.0</v>
      </c>
      <c r="P15" s="10" t="s">
        <v>23</v>
      </c>
      <c r="Q15" s="10" t="s">
        <v>23</v>
      </c>
      <c r="R15" s="10"/>
      <c r="S15" s="10" t="s">
        <v>23</v>
      </c>
      <c r="T15" s="10"/>
      <c r="U15" s="10" t="s">
        <v>23</v>
      </c>
    </row>
    <row r="16">
      <c r="A16" s="9" t="str">
        <f>HYPERLINK("https://docs.google.com/spreadsheets/d/1OvIOVR4AMBMcafVt9o6KEur-eEFhew1kw_KUv3DV3Xs/edit?usp=sharing","John Cochran")</f>
        <v>John Cochran</v>
      </c>
      <c r="B16" s="10">
        <v>23.0</v>
      </c>
      <c r="C16" s="10">
        <v>61.0</v>
      </c>
      <c r="D16" s="10">
        <v>12.0</v>
      </c>
      <c r="E16" s="11">
        <v>5.08</v>
      </c>
      <c r="F16" s="12">
        <v>0.1521</v>
      </c>
      <c r="G16" s="10">
        <v>31.0</v>
      </c>
      <c r="H16" s="10" t="s">
        <v>23</v>
      </c>
      <c r="I16" s="10" t="s">
        <v>9</v>
      </c>
      <c r="J16" s="10" t="s">
        <v>46</v>
      </c>
      <c r="K16" s="10" t="s">
        <v>47</v>
      </c>
      <c r="L16" s="13">
        <v>6.0</v>
      </c>
      <c r="M16" s="13">
        <v>3.0</v>
      </c>
      <c r="N16" s="13" t="s">
        <v>23</v>
      </c>
      <c r="O16" s="13">
        <v>10.0</v>
      </c>
      <c r="P16" s="13" t="s">
        <v>23</v>
      </c>
      <c r="Q16" s="13">
        <v>1.0</v>
      </c>
      <c r="R16" s="13"/>
      <c r="S16" s="10">
        <v>1.0</v>
      </c>
      <c r="T16" s="10"/>
      <c r="U16" s="10" t="s">
        <v>23</v>
      </c>
    </row>
    <row r="17">
      <c r="A17" s="9" t="str">
        <f>HYPERLINK("https://docs.google.com/spreadsheets/d/18wmIvmUS3SeZNSPQeUzr6sPl9GBYpVSlOaFR_kJCmKo/edit?usp=sharing","Jerri Manthey")</f>
        <v>Jerri Manthey</v>
      </c>
      <c r="B17" s="10">
        <v>2.0</v>
      </c>
      <c r="C17" s="10">
        <v>60.0</v>
      </c>
      <c r="D17" s="10">
        <v>9.0</v>
      </c>
      <c r="E17" s="11">
        <v>6.67</v>
      </c>
      <c r="F17" s="12">
        <v>0.107</v>
      </c>
      <c r="G17" s="10">
        <v>27.0</v>
      </c>
      <c r="H17" s="10" t="s">
        <v>23</v>
      </c>
      <c r="I17" s="10" t="s">
        <v>9</v>
      </c>
      <c r="J17" s="10" t="s">
        <v>48</v>
      </c>
      <c r="K17" s="10" t="s">
        <v>49</v>
      </c>
      <c r="L17" s="13">
        <v>5.0</v>
      </c>
      <c r="M17" s="13">
        <v>2.0</v>
      </c>
      <c r="N17" s="13" t="s">
        <v>23</v>
      </c>
      <c r="O17" s="13">
        <v>6.0</v>
      </c>
      <c r="P17" s="10" t="s">
        <v>23</v>
      </c>
      <c r="Q17" s="10" t="s">
        <v>23</v>
      </c>
      <c r="R17" s="10"/>
      <c r="S17" s="10" t="s">
        <v>23</v>
      </c>
      <c r="T17" s="10"/>
      <c r="U17" s="10" t="s">
        <v>23</v>
      </c>
    </row>
    <row r="18">
      <c r="A18" s="9" t="str">
        <f>HYPERLINK("https://docs.google.com/spreadsheets/d/1hg_GT4r2smQsgkwEYBqHOukVavnNSyncsyfceWDpOho/edit?usp=sharing","Rupert Boneham")</f>
        <v>Rupert Boneham</v>
      </c>
      <c r="B18" s="10">
        <v>8.0</v>
      </c>
      <c r="C18" s="10">
        <v>59.0</v>
      </c>
      <c r="D18" s="10">
        <v>15.0</v>
      </c>
      <c r="E18" s="11">
        <v>3.93</v>
      </c>
      <c r="F18" s="12">
        <v>0.1164</v>
      </c>
      <c r="G18" s="10">
        <v>37.0</v>
      </c>
      <c r="H18" s="10" t="s">
        <v>23</v>
      </c>
      <c r="I18" s="10" t="s">
        <v>9</v>
      </c>
      <c r="J18" s="10" t="s">
        <v>37</v>
      </c>
      <c r="K18" s="10" t="s">
        <v>41</v>
      </c>
      <c r="L18" s="13">
        <v>9.0</v>
      </c>
      <c r="M18" s="13">
        <v>4.0</v>
      </c>
      <c r="N18" s="13" t="s">
        <v>23</v>
      </c>
      <c r="O18" s="13">
        <v>8.0</v>
      </c>
      <c r="P18" s="10" t="s">
        <v>23</v>
      </c>
      <c r="Q18" s="10" t="s">
        <v>23</v>
      </c>
      <c r="R18" s="10"/>
      <c r="S18" s="10" t="s">
        <v>23</v>
      </c>
      <c r="T18" s="10"/>
      <c r="U18" s="10" t="s">
        <v>23</v>
      </c>
    </row>
    <row r="19">
      <c r="A19" s="15" t="str">
        <f>HYPERLINK("https://docs.google.com/spreadsheets/d/1VEbyebFdBtPJKQC_U2uGrW6_v1fn6Hsoz3YYLyCxHR0/edit?usp=sharing","Terry Deitz")</f>
        <v>Terry Deitz</v>
      </c>
      <c r="B19" s="13">
        <v>12.0</v>
      </c>
      <c r="C19" s="13">
        <v>57.0</v>
      </c>
      <c r="D19" s="13">
        <v>14.0</v>
      </c>
      <c r="E19" s="16">
        <v>4.07</v>
      </c>
      <c r="F19" s="17">
        <v>0.0124</v>
      </c>
      <c r="G19" s="13">
        <v>38.0</v>
      </c>
      <c r="H19" s="13" t="s">
        <v>23</v>
      </c>
      <c r="I19" s="13" t="s">
        <v>9</v>
      </c>
      <c r="J19" s="13" t="s">
        <v>24</v>
      </c>
      <c r="K19" s="13" t="s">
        <v>25</v>
      </c>
      <c r="L19" s="13">
        <v>9.0</v>
      </c>
      <c r="M19" s="13">
        <v>3.0</v>
      </c>
      <c r="N19" s="13">
        <v>5.0</v>
      </c>
      <c r="O19" s="13">
        <v>10.0</v>
      </c>
      <c r="P19" s="13">
        <v>4.0</v>
      </c>
      <c r="Q19" s="13" t="s">
        <v>23</v>
      </c>
      <c r="R19" s="13"/>
      <c r="S19" s="13">
        <v>1.0</v>
      </c>
      <c r="T19" s="13" t="s">
        <v>23</v>
      </c>
      <c r="U19" s="13" t="s">
        <v>23</v>
      </c>
    </row>
    <row r="20">
      <c r="A20" s="9" t="str">
        <f>HYPERLINK("https://docs.google.com/spreadsheets/d/1nRsx7fR5xbH1eAbI_vBDvqXOgh7mXIwmZNhzrVL6oGM/edit?usp=sharing","Sean Rector")</f>
        <v>Sean Rector</v>
      </c>
      <c r="B20" s="10">
        <v>4.0</v>
      </c>
      <c r="C20" s="10">
        <v>57.0</v>
      </c>
      <c r="D20" s="10">
        <v>12.0</v>
      </c>
      <c r="E20" s="11">
        <v>4.75</v>
      </c>
      <c r="F20" s="12">
        <v>0.1192</v>
      </c>
      <c r="G20" s="10">
        <v>36.0</v>
      </c>
      <c r="H20" s="10" t="s">
        <v>23</v>
      </c>
      <c r="I20" s="10" t="s">
        <v>9</v>
      </c>
      <c r="J20" s="10" t="s">
        <v>46</v>
      </c>
      <c r="K20" s="10" t="s">
        <v>52</v>
      </c>
      <c r="L20" s="13">
        <v>2.0</v>
      </c>
      <c r="M20" s="13">
        <v>2.0</v>
      </c>
      <c r="N20" s="13" t="s">
        <v>23</v>
      </c>
      <c r="O20" s="13">
        <v>10.0</v>
      </c>
      <c r="P20" s="10" t="s">
        <v>23</v>
      </c>
      <c r="Q20" s="10" t="s">
        <v>23</v>
      </c>
      <c r="R20" s="10"/>
      <c r="S20" s="10" t="s">
        <v>23</v>
      </c>
      <c r="T20" s="10"/>
      <c r="U20" s="10" t="s">
        <v>23</v>
      </c>
    </row>
    <row r="21">
      <c r="A21" s="9" t="str">
        <f>HYPERLINK("https://docs.google.com/spreadsheets/d/14eN4V4imd53x81UQVckjyAx_2xIFGXJ8NE4XmE1oDkg/edit?usp=sharing","Sean Kernniff")</f>
        <v>Sean Kernniff</v>
      </c>
      <c r="B21" s="10">
        <v>1.0</v>
      </c>
      <c r="C21" s="10">
        <v>57.0</v>
      </c>
      <c r="D21" s="10">
        <v>12.0</v>
      </c>
      <c r="E21" s="11">
        <v>4.75</v>
      </c>
      <c r="F21" s="14">
        <v>0.0868</v>
      </c>
      <c r="G21" s="10">
        <v>36.0</v>
      </c>
      <c r="H21" s="10" t="s">
        <v>23</v>
      </c>
      <c r="I21" s="10" t="s">
        <v>9</v>
      </c>
      <c r="J21" s="10" t="s">
        <v>46</v>
      </c>
      <c r="K21" s="10" t="s">
        <v>52</v>
      </c>
      <c r="L21" s="13">
        <v>4.0</v>
      </c>
      <c r="M21" s="13">
        <v>3.0</v>
      </c>
      <c r="N21" s="13" t="s">
        <v>23</v>
      </c>
      <c r="O21" s="13">
        <v>9.0</v>
      </c>
      <c r="P21" s="10" t="s">
        <v>23</v>
      </c>
      <c r="Q21" s="10" t="s">
        <v>23</v>
      </c>
      <c r="R21" s="10"/>
      <c r="S21" s="10" t="s">
        <v>23</v>
      </c>
      <c r="T21" s="10"/>
      <c r="U21" s="10" t="s">
        <v>23</v>
      </c>
    </row>
    <row r="22">
      <c r="A22" s="9" t="str">
        <f>HYPERLINK("https://docs.google.com/spreadsheets/d/18wmIvmUS3SeZNSPQeUzr6sPl9GBYpVSlOaFR_kJCmKo/edit?usp=sharing","Elisabeth Filarski")</f>
        <v>Elisabeth Filarski</v>
      </c>
      <c r="B22" s="10">
        <v>2.0</v>
      </c>
      <c r="C22" s="10">
        <v>57.0</v>
      </c>
      <c r="D22" s="10">
        <v>13.0</v>
      </c>
      <c r="E22" s="11">
        <v>4.38</v>
      </c>
      <c r="F22" s="12">
        <v>0.1016</v>
      </c>
      <c r="G22" s="10">
        <v>39.0</v>
      </c>
      <c r="H22" s="10">
        <v>2.0</v>
      </c>
      <c r="I22" s="10" t="s">
        <v>9</v>
      </c>
      <c r="J22" s="10" t="s">
        <v>37</v>
      </c>
      <c r="K22" s="10" t="s">
        <v>38</v>
      </c>
      <c r="L22" s="13">
        <v>4.0</v>
      </c>
      <c r="M22" s="13">
        <v>3.0</v>
      </c>
      <c r="N22" s="13" t="s">
        <v>23</v>
      </c>
      <c r="O22" s="13">
        <v>9.0</v>
      </c>
      <c r="P22" s="10" t="s">
        <v>23</v>
      </c>
      <c r="Q22" s="10" t="s">
        <v>23</v>
      </c>
      <c r="R22" s="10"/>
      <c r="S22" s="10" t="s">
        <v>23</v>
      </c>
      <c r="T22" s="10"/>
      <c r="U22" s="10" t="s">
        <v>23</v>
      </c>
    </row>
    <row r="23">
      <c r="A23" s="9" t="str">
        <f>HYPERLINK("https://docs.google.com/spreadsheets/d/1iNFGyKFcJm-tPp7Dg94yi7mHCDbJssmAD_PiaDM_tAE/edit?usp=sharing","Jon Misch")</f>
        <v>Jon Misch</v>
      </c>
      <c r="B23" s="10">
        <v>29.0</v>
      </c>
      <c r="C23" s="10">
        <v>56.0</v>
      </c>
      <c r="D23" s="10">
        <v>13.0</v>
      </c>
      <c r="E23" s="11">
        <v>4.31</v>
      </c>
      <c r="F23" s="12">
        <v>0.1258</v>
      </c>
      <c r="G23" s="10">
        <v>35.0</v>
      </c>
      <c r="H23" s="10">
        <v>1.0</v>
      </c>
      <c r="I23" s="10" t="s">
        <v>9</v>
      </c>
      <c r="J23" s="10" t="s">
        <v>37</v>
      </c>
      <c r="K23" s="10" t="s">
        <v>56</v>
      </c>
      <c r="L23" s="23">
        <v>7.0</v>
      </c>
      <c r="M23" s="23">
        <v>3.0</v>
      </c>
      <c r="N23" s="23">
        <v>1.0</v>
      </c>
      <c r="O23" s="23">
        <v>9.0</v>
      </c>
      <c r="P23" s="23">
        <v>2.0</v>
      </c>
      <c r="Q23" s="23" t="s">
        <v>23</v>
      </c>
      <c r="R23" s="23"/>
      <c r="S23" s="23">
        <v>2.0</v>
      </c>
      <c r="T23" s="23"/>
      <c r="U23" s="10" t="s">
        <v>23</v>
      </c>
    </row>
    <row r="24">
      <c r="A24" s="9" t="str">
        <f>HYPERLINK("https://docs.google.com/spreadsheets/d/14eN4V4imd53x81UQVckjyAx_2xIFGXJ8NE4XmE1oDkg/edit?usp=sharing","Gervase Peterson")</f>
        <v>Gervase Peterson</v>
      </c>
      <c r="B24" s="10">
        <v>1.0</v>
      </c>
      <c r="C24" s="10">
        <v>56.0</v>
      </c>
      <c r="D24" s="10">
        <v>10.0</v>
      </c>
      <c r="E24" s="11">
        <v>5.6</v>
      </c>
      <c r="F24" s="14">
        <v>0.0852</v>
      </c>
      <c r="G24" s="10">
        <v>30.0</v>
      </c>
      <c r="H24" s="10">
        <v>1.0</v>
      </c>
      <c r="I24" s="10" t="s">
        <v>9</v>
      </c>
      <c r="J24" s="10" t="s">
        <v>43</v>
      </c>
      <c r="K24" s="10" t="s">
        <v>57</v>
      </c>
      <c r="L24" s="13">
        <v>5.0</v>
      </c>
      <c r="M24" s="13">
        <v>3.0</v>
      </c>
      <c r="N24" s="13">
        <v>1.0</v>
      </c>
      <c r="O24" s="13">
        <v>7.0</v>
      </c>
      <c r="P24" s="10" t="s">
        <v>23</v>
      </c>
      <c r="Q24" s="10" t="s">
        <v>23</v>
      </c>
      <c r="R24" s="10"/>
      <c r="S24" s="10" t="s">
        <v>23</v>
      </c>
      <c r="T24" s="10"/>
      <c r="U24" s="10" t="s">
        <v>23</v>
      </c>
    </row>
    <row r="25">
      <c r="A25" s="15" t="str">
        <f>HYPERLINK("https://docs.google.com/spreadsheets/d/1ZajpFwOHrMmupCcACeLhLTzPOwhTrjKRR1FJtUgeLww/edit?usp=sharing","David Wright")</f>
        <v>David Wright</v>
      </c>
      <c r="B25" s="13">
        <v>33.0</v>
      </c>
      <c r="C25" s="13">
        <v>56.0</v>
      </c>
      <c r="D25" s="13">
        <v>14.0</v>
      </c>
      <c r="E25" s="16">
        <v>4.0</v>
      </c>
      <c r="F25" s="17">
        <v>0.1287</v>
      </c>
      <c r="G25" s="13">
        <v>38.0</v>
      </c>
      <c r="H25" s="13" t="s">
        <v>23</v>
      </c>
      <c r="I25" s="13" t="s">
        <v>9</v>
      </c>
      <c r="J25" s="13" t="s">
        <v>54</v>
      </c>
      <c r="K25" s="13" t="s">
        <v>55</v>
      </c>
      <c r="L25" s="13">
        <v>8.0</v>
      </c>
      <c r="M25" s="13">
        <v>3.0</v>
      </c>
      <c r="N25" s="13">
        <v>2.0</v>
      </c>
      <c r="O25" s="13">
        <v>14.0</v>
      </c>
      <c r="P25" s="13" t="s">
        <v>23</v>
      </c>
      <c r="Q25" s="13" t="s">
        <v>23</v>
      </c>
      <c r="R25" s="13"/>
      <c r="S25" s="13">
        <v>2.0</v>
      </c>
      <c r="T25" s="13" t="s">
        <v>23</v>
      </c>
      <c r="U25" s="13" t="s">
        <v>23</v>
      </c>
    </row>
    <row r="26">
      <c r="A26" s="9" t="str">
        <f>HYPERLINK("https://docs.google.com/spreadsheets/d/1EZNO7rY3X3GsqJDX9iY8RpZJJDJ-K4nm_Mxm1g397N0/edit?usp=sharing","Tom Buchanan")</f>
        <v>Tom Buchanan</v>
      </c>
      <c r="B26" s="10">
        <v>3.0</v>
      </c>
      <c r="C26" s="10">
        <v>55.0</v>
      </c>
      <c r="D26" s="10">
        <v>13.0</v>
      </c>
      <c r="E26" s="11">
        <v>4.23</v>
      </c>
      <c r="F26" s="12">
        <v>0.11</v>
      </c>
      <c r="G26" s="10">
        <v>37.0</v>
      </c>
      <c r="H26" s="10" t="s">
        <v>23</v>
      </c>
      <c r="I26" s="10" t="s">
        <v>9</v>
      </c>
      <c r="J26" s="10" t="s">
        <v>37</v>
      </c>
      <c r="K26" s="10" t="s">
        <v>38</v>
      </c>
      <c r="L26" s="13">
        <v>5.0</v>
      </c>
      <c r="M26" s="13">
        <v>3.0</v>
      </c>
      <c r="N26" s="13">
        <v>1.0</v>
      </c>
      <c r="O26" s="13">
        <v>10.0</v>
      </c>
      <c r="P26" s="10" t="s">
        <v>23</v>
      </c>
      <c r="Q26" s="10" t="s">
        <v>23</v>
      </c>
      <c r="R26" s="10"/>
      <c r="S26" s="10" t="s">
        <v>23</v>
      </c>
      <c r="T26" s="10"/>
      <c r="U26" s="10" t="s">
        <v>23</v>
      </c>
    </row>
    <row r="27">
      <c r="A27" s="9" t="str">
        <f>HYPERLINK("https://docs.google.com/spreadsheets/d/1tPYt5CqjX32YXnh0BRsechvszEP2n4_ePabpiRTSzqE/edit?usp=sharing","Jon Dalton")</f>
        <v>Jon Dalton</v>
      </c>
      <c r="B27" s="10">
        <v>7.0</v>
      </c>
      <c r="C27" s="10">
        <v>54.0</v>
      </c>
      <c r="D27" s="10">
        <v>14.0</v>
      </c>
      <c r="E27" s="11">
        <v>3.86</v>
      </c>
      <c r="F27" s="12">
        <v>0.1078</v>
      </c>
      <c r="G27" s="10">
        <v>38.0</v>
      </c>
      <c r="H27" s="10">
        <v>1.0</v>
      </c>
      <c r="I27" s="10" t="s">
        <v>9</v>
      </c>
      <c r="J27" s="10" t="s">
        <v>24</v>
      </c>
      <c r="K27" s="10" t="s">
        <v>25</v>
      </c>
      <c r="L27" s="13">
        <v>8.0</v>
      </c>
      <c r="M27" s="13">
        <v>3.0</v>
      </c>
      <c r="N27" s="13" t="s">
        <v>23</v>
      </c>
      <c r="O27" s="13">
        <v>12.0</v>
      </c>
      <c r="P27" s="10" t="s">
        <v>23</v>
      </c>
      <c r="Q27" s="10" t="s">
        <v>23</v>
      </c>
      <c r="R27" s="10"/>
      <c r="S27" s="10" t="s">
        <v>23</v>
      </c>
      <c r="T27" s="10"/>
      <c r="U27" s="10" t="s">
        <v>23</v>
      </c>
    </row>
    <row r="28">
      <c r="A28" s="15" t="str">
        <f>HYPERLINK("https://docs.google.com/spreadsheets/d/1yi_HtvN4TS5uRWCCFJg5RFaoouiIIe8CAtY_XnqP6iM/edit?usp=sharing","Eliza Orlins")</f>
        <v>Eliza Orlins</v>
      </c>
      <c r="B28" s="13">
        <v>9.0</v>
      </c>
      <c r="C28" s="13">
        <v>54.0</v>
      </c>
      <c r="D28" s="13">
        <v>14.0</v>
      </c>
      <c r="E28" s="16">
        <v>3.86</v>
      </c>
      <c r="F28" s="17">
        <v>0.1289</v>
      </c>
      <c r="G28" s="13">
        <v>37.0</v>
      </c>
      <c r="H28" s="13">
        <v>1.0</v>
      </c>
      <c r="I28" s="13" t="s">
        <v>9</v>
      </c>
      <c r="J28" s="13" t="s">
        <v>37</v>
      </c>
      <c r="K28" s="13" t="s">
        <v>41</v>
      </c>
      <c r="L28" s="13">
        <v>8.0</v>
      </c>
      <c r="M28" s="13">
        <v>3.0</v>
      </c>
      <c r="N28" s="13">
        <v>1.0</v>
      </c>
      <c r="O28" s="13">
        <v>11.0</v>
      </c>
      <c r="P28" s="10" t="s">
        <v>23</v>
      </c>
      <c r="Q28" s="10" t="s">
        <v>23</v>
      </c>
      <c r="R28" s="10"/>
      <c r="S28" s="10" t="s">
        <v>23</v>
      </c>
      <c r="T28" s="10"/>
      <c r="U28" s="10" t="s">
        <v>23</v>
      </c>
    </row>
    <row r="29">
      <c r="A29" s="9" t="str">
        <f>HYPERLINK("https://docs.google.com/spreadsheets/d/14eN4V4imd53x81UQVckjyAx_2xIFGXJ8NE4XmE1oDkg/edit?usp=sharing","Colleen Haskell")</f>
        <v>Colleen Haskell</v>
      </c>
      <c r="B29" s="10">
        <v>1.0</v>
      </c>
      <c r="C29" s="10">
        <v>54.0</v>
      </c>
      <c r="D29" s="10">
        <v>11.0</v>
      </c>
      <c r="E29" s="11">
        <v>4.91</v>
      </c>
      <c r="F29" s="14">
        <v>0.0822</v>
      </c>
      <c r="G29" s="10">
        <v>33.0</v>
      </c>
      <c r="H29" s="10">
        <v>1.0</v>
      </c>
      <c r="I29" s="10" t="s">
        <v>9</v>
      </c>
      <c r="J29" s="10" t="s">
        <v>58</v>
      </c>
      <c r="K29" s="10" t="s">
        <v>59</v>
      </c>
      <c r="L29" s="13">
        <v>5.0</v>
      </c>
      <c r="M29" s="13">
        <v>3.0</v>
      </c>
      <c r="N29" s="13" t="s">
        <v>23</v>
      </c>
      <c r="O29" s="13">
        <v>8.0</v>
      </c>
      <c r="P29" s="10" t="s">
        <v>23</v>
      </c>
      <c r="Q29" s="10" t="s">
        <v>23</v>
      </c>
      <c r="R29" s="10"/>
      <c r="S29" s="10" t="s">
        <v>23</v>
      </c>
      <c r="T29" s="10"/>
      <c r="U29" s="10" t="s">
        <v>23</v>
      </c>
    </row>
    <row r="30">
      <c r="A30" s="9" t="str">
        <f>HYPERLINK("https://docs.google.com/spreadsheets/d/1tPYt5CqjX32YXnh0BRsechvszEP2n4_ePabpiRTSzqE/edit?usp=sharing","Burton Roberts")</f>
        <v>Burton Roberts</v>
      </c>
      <c r="B30" s="10">
        <v>7.0</v>
      </c>
      <c r="C30" s="10">
        <v>53.0</v>
      </c>
      <c r="D30" s="10">
        <v>10.0</v>
      </c>
      <c r="E30" s="11">
        <v>5.3</v>
      </c>
      <c r="F30" s="12">
        <v>0.1058</v>
      </c>
      <c r="G30" s="10">
        <v>30.0</v>
      </c>
      <c r="H30" s="10" t="s">
        <v>23</v>
      </c>
      <c r="I30" s="10" t="s">
        <v>9</v>
      </c>
      <c r="J30" s="10" t="s">
        <v>46</v>
      </c>
      <c r="K30" s="10" t="s">
        <v>52</v>
      </c>
      <c r="L30" s="13">
        <v>5.0</v>
      </c>
      <c r="M30" s="13">
        <v>3.0</v>
      </c>
      <c r="N30" s="13">
        <v>2.0</v>
      </c>
      <c r="O30" s="13">
        <v>7.0</v>
      </c>
      <c r="P30" s="10" t="s">
        <v>23</v>
      </c>
      <c r="Q30" s="10" t="s">
        <v>23</v>
      </c>
      <c r="R30" s="10"/>
      <c r="S30" s="10" t="s">
        <v>23</v>
      </c>
      <c r="T30" s="10"/>
      <c r="U30" s="10" t="s">
        <v>23</v>
      </c>
    </row>
    <row r="31">
      <c r="A31" s="19" t="str">
        <f>HYPERLINK("https://docs.google.com/spreadsheets/d/1TniiK35-AGMNddj9lkge_tT9QfOGXMfX2thnTv8npTo/edit?usp=sharing","Ted Rogers, Jr.")</f>
        <v>Ted Rogers, Jr.</v>
      </c>
      <c r="B31" s="20">
        <v>5.0</v>
      </c>
      <c r="C31" s="21">
        <v>52.0</v>
      </c>
      <c r="D31" s="20">
        <v>12.0</v>
      </c>
      <c r="E31" s="22">
        <v>4.33</v>
      </c>
      <c r="F31" s="14">
        <v>0.1077</v>
      </c>
      <c r="G31" s="21">
        <v>36.0</v>
      </c>
      <c r="H31" s="21">
        <v>1.0</v>
      </c>
      <c r="I31" s="10" t="s">
        <v>9</v>
      </c>
      <c r="J31" s="21" t="s">
        <v>46</v>
      </c>
      <c r="K31" s="20" t="s">
        <v>52</v>
      </c>
      <c r="L31" s="13">
        <v>4.0</v>
      </c>
      <c r="M31" s="13">
        <v>5.0</v>
      </c>
      <c r="N31" s="13">
        <v>1.0</v>
      </c>
      <c r="O31" s="13">
        <v>7.0</v>
      </c>
      <c r="P31" s="10" t="s">
        <v>23</v>
      </c>
      <c r="Q31" s="10" t="s">
        <v>23</v>
      </c>
      <c r="R31" s="10"/>
      <c r="S31" s="10" t="s">
        <v>23</v>
      </c>
      <c r="T31" s="10"/>
      <c r="U31" s="10" t="s">
        <v>23</v>
      </c>
    </row>
    <row r="32">
      <c r="A32" s="9" t="str">
        <f>HYPERLINK("https://docs.google.com/spreadsheets/d/1HA0vQC0CSnQtVc8u58vwNd3sIFCc79SKVqM1abMG1hI/edit?usp=sharing","Rodney Lavoie Jr.")</f>
        <v>Rodney Lavoie Jr.</v>
      </c>
      <c r="B32" s="10">
        <v>30.0</v>
      </c>
      <c r="C32" s="10">
        <v>52.0</v>
      </c>
      <c r="D32" s="10">
        <v>14.0</v>
      </c>
      <c r="E32" s="11">
        <v>3.71</v>
      </c>
      <c r="F32" s="12">
        <v>0.1138</v>
      </c>
      <c r="G32" s="10">
        <v>38.0</v>
      </c>
      <c r="H32" s="10" t="s">
        <v>23</v>
      </c>
      <c r="I32" s="10" t="s">
        <v>9</v>
      </c>
      <c r="J32" s="10" t="s">
        <v>40</v>
      </c>
      <c r="K32" s="10" t="s">
        <v>41</v>
      </c>
      <c r="L32" s="13">
        <v>6.0</v>
      </c>
      <c r="M32" s="13">
        <v>4.0</v>
      </c>
      <c r="N32" s="13" t="s">
        <v>23</v>
      </c>
      <c r="O32" s="13">
        <v>11.0</v>
      </c>
      <c r="P32" s="10" t="s">
        <v>23</v>
      </c>
      <c r="Q32" s="10" t="s">
        <v>23</v>
      </c>
      <c r="R32" s="10"/>
      <c r="S32" s="10" t="s">
        <v>23</v>
      </c>
      <c r="T32" s="10"/>
      <c r="U32" s="10" t="s">
        <v>23</v>
      </c>
    </row>
    <row r="33">
      <c r="A33" s="15" t="str">
        <f>HYPERLINK("https://docs.google.com/spreadsheets/d/1sWOJC8eB6rVdXdWiWMgfbfgw2325jIh1ODKxyaCmSGc/edit?usp=sharing","Rafe Judkins")</f>
        <v>Rafe Judkins</v>
      </c>
      <c r="B33" s="13">
        <v>11.0</v>
      </c>
      <c r="C33" s="13">
        <v>52.0</v>
      </c>
      <c r="D33" s="13">
        <v>14.0</v>
      </c>
      <c r="E33" s="16">
        <v>3.71</v>
      </c>
      <c r="F33" s="17">
        <v>0.1179</v>
      </c>
      <c r="G33" s="13">
        <v>38.0</v>
      </c>
      <c r="H33" s="13">
        <v>1.0</v>
      </c>
      <c r="I33" s="13" t="s">
        <v>9</v>
      </c>
      <c r="J33" s="13" t="s">
        <v>24</v>
      </c>
      <c r="K33" s="13" t="s">
        <v>34</v>
      </c>
      <c r="L33" s="13">
        <v>4.0</v>
      </c>
      <c r="M33" s="13">
        <v>3.0</v>
      </c>
      <c r="N33" s="13">
        <v>4.0</v>
      </c>
      <c r="O33" s="13">
        <v>12.0</v>
      </c>
      <c r="P33" s="13" t="s">
        <v>23</v>
      </c>
      <c r="Q33" s="13" t="s">
        <v>23</v>
      </c>
      <c r="R33" s="13"/>
      <c r="S33" s="13" t="s">
        <v>23</v>
      </c>
      <c r="T33" s="13" t="s">
        <v>23</v>
      </c>
      <c r="U33" s="13" t="s">
        <v>23</v>
      </c>
    </row>
    <row r="34">
      <c r="A34" s="9" t="str">
        <f>HYPERLINK("https://docs.google.com/spreadsheets/d/14eN4V4imd53x81UQVckjyAx_2xIFGXJ8NE4XmE1oDkg/edit?usp=sharing","Rudy Boesch")</f>
        <v>Rudy Boesch</v>
      </c>
      <c r="B34" s="10">
        <v>1.0</v>
      </c>
      <c r="C34" s="10">
        <v>51.0</v>
      </c>
      <c r="D34" s="10">
        <v>13.0</v>
      </c>
      <c r="E34" s="11">
        <v>3.92</v>
      </c>
      <c r="F34" s="14">
        <v>0.0776</v>
      </c>
      <c r="G34" s="10">
        <v>38.0</v>
      </c>
      <c r="H34" s="10" t="s">
        <v>23</v>
      </c>
      <c r="I34" s="10" t="s">
        <v>9</v>
      </c>
      <c r="J34" s="10" t="s">
        <v>24</v>
      </c>
      <c r="K34" s="10" t="s">
        <v>25</v>
      </c>
      <c r="L34" s="13">
        <v>2.0</v>
      </c>
      <c r="M34" s="13">
        <v>3.0</v>
      </c>
      <c r="N34" s="13">
        <v>1.0</v>
      </c>
      <c r="O34" s="13">
        <v>11.0</v>
      </c>
      <c r="P34" s="10" t="s">
        <v>23</v>
      </c>
      <c r="Q34" s="10" t="s">
        <v>23</v>
      </c>
      <c r="R34" s="10"/>
      <c r="S34" s="10" t="s">
        <v>23</v>
      </c>
      <c r="T34" s="10"/>
      <c r="U34" s="10" t="s">
        <v>23</v>
      </c>
    </row>
    <row r="35">
      <c r="A35" s="9" t="str">
        <f>HYPERLINK("https://docs.google.com/spreadsheets/d/1nYlVL4RxK2ZUH-a4MfKCalHyEjDRWz2ZumhyoaYsjTE/edit?usp=sharing","NaOnka Mixon")</f>
        <v>NaOnka Mixon</v>
      </c>
      <c r="B35" s="10">
        <v>21.0</v>
      </c>
      <c r="C35" s="10">
        <v>50.0</v>
      </c>
      <c r="D35" s="10">
        <v>11.0</v>
      </c>
      <c r="E35" s="11">
        <v>4.55</v>
      </c>
      <c r="F35" s="12">
        <v>0.1202</v>
      </c>
      <c r="G35" s="10">
        <v>28.0</v>
      </c>
      <c r="H35" s="10" t="s">
        <v>23</v>
      </c>
      <c r="I35" s="10" t="s">
        <v>9</v>
      </c>
      <c r="J35" s="10" t="s">
        <v>58</v>
      </c>
      <c r="K35" s="10" t="s">
        <v>63</v>
      </c>
      <c r="L35" s="13">
        <v>8.0</v>
      </c>
      <c r="M35" s="13">
        <v>4.0</v>
      </c>
      <c r="N35" s="13" t="s">
        <v>23</v>
      </c>
      <c r="O35" s="13">
        <v>6.0</v>
      </c>
      <c r="P35" s="10" t="s">
        <v>23</v>
      </c>
      <c r="Q35" s="10" t="s">
        <v>23</v>
      </c>
      <c r="R35" s="10"/>
      <c r="S35" s="10">
        <v>1.0</v>
      </c>
      <c r="T35" s="10"/>
      <c r="U35" s="10" t="s">
        <v>64</v>
      </c>
    </row>
    <row r="36">
      <c r="A36" s="15" t="str">
        <f>HYPERLINK("https://docs.google.com/spreadsheets/d/1d8Hzm_QCJnDef8NF_dVYBZLjLjFI3Fl8Yt14m8Zhn8Y/edit?usp=sharing","Ian Rosenberger")</f>
        <v>Ian Rosenberger</v>
      </c>
      <c r="B36" s="13">
        <v>10.0</v>
      </c>
      <c r="C36" s="13">
        <v>50.0</v>
      </c>
      <c r="D36" s="13">
        <v>14.0</v>
      </c>
      <c r="E36" s="16">
        <v>3.57</v>
      </c>
      <c r="F36" s="17">
        <v>0.1171</v>
      </c>
      <c r="G36" s="13">
        <v>38.0</v>
      </c>
      <c r="H36" s="13">
        <v>1.0</v>
      </c>
      <c r="I36" s="13" t="s">
        <v>42</v>
      </c>
      <c r="J36" s="13" t="s">
        <v>24</v>
      </c>
      <c r="K36" s="13" t="s">
        <v>62</v>
      </c>
      <c r="L36" s="13">
        <v>9.0</v>
      </c>
      <c r="M36" s="13">
        <v>7.0</v>
      </c>
      <c r="N36" s="13">
        <v>3.0</v>
      </c>
      <c r="O36" s="13">
        <v>8.0</v>
      </c>
      <c r="P36" s="13" t="s">
        <v>23</v>
      </c>
      <c r="Q36" s="13" t="s">
        <v>23</v>
      </c>
      <c r="R36" s="13"/>
      <c r="S36" s="13" t="s">
        <v>23</v>
      </c>
      <c r="T36" s="13" t="s">
        <v>23</v>
      </c>
      <c r="U36" s="13" t="s">
        <v>23</v>
      </c>
    </row>
    <row r="37">
      <c r="A37" s="9" t="str">
        <f>HYPERLINK("https://docs.google.com/spreadsheets/d/1v6gXy2rHfH0CkzT8zUZyZm6b-WimbnBspkh1B5hksu4/edit?usp=sharing","Troyzan Robertson")</f>
        <v>Troyzan Robertson</v>
      </c>
      <c r="B37" s="10">
        <v>24.0</v>
      </c>
      <c r="C37" s="10">
        <v>49.0</v>
      </c>
      <c r="D37" s="10">
        <v>11.0</v>
      </c>
      <c r="E37" s="11">
        <v>4.45</v>
      </c>
      <c r="F37" s="12">
        <v>0.1283</v>
      </c>
      <c r="G37" s="10">
        <v>30.0</v>
      </c>
      <c r="H37" s="10" t="s">
        <v>23</v>
      </c>
      <c r="I37" s="10" t="s">
        <v>9</v>
      </c>
      <c r="J37" s="10" t="s">
        <v>46</v>
      </c>
      <c r="K37" s="10" t="s">
        <v>47</v>
      </c>
      <c r="L37" s="13">
        <v>7.0</v>
      </c>
      <c r="M37" s="13">
        <v>3.0</v>
      </c>
      <c r="N37" s="13">
        <v>2.0</v>
      </c>
      <c r="O37" s="13">
        <v>7.0</v>
      </c>
      <c r="P37" s="10" t="s">
        <v>23</v>
      </c>
      <c r="Q37" s="10" t="s">
        <v>23</v>
      </c>
      <c r="R37" s="10"/>
      <c r="S37" s="10">
        <v>1.0</v>
      </c>
      <c r="T37" s="10"/>
      <c r="U37" s="10" t="s">
        <v>23</v>
      </c>
    </row>
    <row r="38">
      <c r="A38" s="15" t="str">
        <f>HYPERLINK("https://docs.google.com/spreadsheets/d/1ZajpFwOHrMmupCcACeLhLTzPOwhTrjKRR1FJtUgeLww/edit?usp=sharing","Justin ""Jay"" Starrett")</f>
        <v>Justin "Jay" Starrett</v>
      </c>
      <c r="B38" s="13">
        <v>33.0</v>
      </c>
      <c r="C38" s="13">
        <v>49.0</v>
      </c>
      <c r="D38" s="13">
        <v>14.0</v>
      </c>
      <c r="E38" s="16">
        <v>3.5</v>
      </c>
      <c r="F38" s="17">
        <v>0.1126</v>
      </c>
      <c r="G38" s="13">
        <v>36.0</v>
      </c>
      <c r="H38" s="13" t="s">
        <v>23</v>
      </c>
      <c r="I38" s="13" t="s">
        <v>9</v>
      </c>
      <c r="J38" s="13" t="s">
        <v>40</v>
      </c>
      <c r="K38" s="13" t="s">
        <v>65</v>
      </c>
      <c r="L38" s="13">
        <v>7.0</v>
      </c>
      <c r="M38" s="13">
        <v>5.0</v>
      </c>
      <c r="N38" s="13">
        <v>2.0</v>
      </c>
      <c r="O38" s="13">
        <v>10.0</v>
      </c>
      <c r="P38" s="13" t="s">
        <v>23</v>
      </c>
      <c r="Q38" s="13" t="s">
        <v>23</v>
      </c>
      <c r="R38" s="13"/>
      <c r="S38" s="13">
        <v>1.0</v>
      </c>
      <c r="T38" s="13">
        <v>1.0</v>
      </c>
      <c r="U38" s="13" t="s">
        <v>23</v>
      </c>
    </row>
    <row r="39">
      <c r="A39" s="9" t="str">
        <f>HYPERLINK("https://docs.google.com/spreadsheets/d/1ReMaq-fM8zzflOjjrMrgnxEsdZxPIPIJqiZ9cCLO3cE/edit?usp=sharing","Jonathan Penner")</f>
        <v>Jonathan Penner</v>
      </c>
      <c r="B39" s="10">
        <v>25.0</v>
      </c>
      <c r="C39" s="10">
        <v>49.0</v>
      </c>
      <c r="D39" s="10">
        <v>11.0</v>
      </c>
      <c r="E39" s="11">
        <v>4.45</v>
      </c>
      <c r="F39" s="12">
        <v>0.1126</v>
      </c>
      <c r="G39" s="10">
        <v>30.0</v>
      </c>
      <c r="H39" s="10" t="s">
        <v>23</v>
      </c>
      <c r="I39" s="10" t="s">
        <v>9</v>
      </c>
      <c r="J39" s="10" t="s">
        <v>46</v>
      </c>
      <c r="K39" s="10" t="s">
        <v>66</v>
      </c>
      <c r="L39" s="13">
        <v>9.0</v>
      </c>
      <c r="M39" s="13">
        <v>4.0</v>
      </c>
      <c r="N39" s="13">
        <v>1.0</v>
      </c>
      <c r="O39" s="13">
        <v>7.0</v>
      </c>
      <c r="P39" s="10" t="s">
        <v>23</v>
      </c>
      <c r="Q39" s="10" t="s">
        <v>23</v>
      </c>
      <c r="R39" s="10"/>
      <c r="S39" s="10">
        <v>1.0</v>
      </c>
      <c r="T39" s="10"/>
      <c r="U39" s="10" t="s">
        <v>23</v>
      </c>
    </row>
    <row r="40">
      <c r="A40" s="9" t="str">
        <f>HYPERLINK("https://docs.google.com/spreadsheets/d/1OvIOVR4AMBMcafVt9o6KEur-eEFhew1kw_KUv3DV3Xs/edit?usp=sharing","Ozzy Lusth")</f>
        <v>Ozzy Lusth</v>
      </c>
      <c r="B40" s="10">
        <v>23.0</v>
      </c>
      <c r="C40" s="10">
        <v>48.0</v>
      </c>
      <c r="D40" s="10">
        <v>14.0</v>
      </c>
      <c r="E40" s="11">
        <v>3.43</v>
      </c>
      <c r="F40" s="12">
        <v>0.1197</v>
      </c>
      <c r="G40" s="10">
        <v>38.0</v>
      </c>
      <c r="H40" s="10">
        <v>1.0</v>
      </c>
      <c r="I40" s="10" t="s">
        <v>9</v>
      </c>
      <c r="J40" s="10" t="s">
        <v>45</v>
      </c>
      <c r="K40" s="10" t="s">
        <v>41</v>
      </c>
      <c r="L40" s="13">
        <v>6.0</v>
      </c>
      <c r="M40" s="13">
        <v>3.0</v>
      </c>
      <c r="N40" s="13">
        <v>2.0</v>
      </c>
      <c r="O40" s="13">
        <v>8.0</v>
      </c>
      <c r="P40" s="13" t="s">
        <v>23</v>
      </c>
      <c r="Q40" s="13">
        <v>2.0</v>
      </c>
      <c r="R40" s="13"/>
      <c r="S40" s="10">
        <v>1.0</v>
      </c>
      <c r="T40" s="10"/>
      <c r="U40" s="10" t="s">
        <v>23</v>
      </c>
    </row>
    <row r="41">
      <c r="A41" s="9" t="str">
        <f>HYPERLINK("https://docs.google.com/spreadsheets/d/1iNFGyKFcJm-tPp7Dg94yi7mHCDbJssmAD_PiaDM_tAE/edit?usp=sharing","Keith Nale")</f>
        <v>Keith Nale</v>
      </c>
      <c r="B41" s="10">
        <v>29.0</v>
      </c>
      <c r="C41" s="10">
        <v>47.0</v>
      </c>
      <c r="D41" s="10">
        <v>14.0</v>
      </c>
      <c r="E41" s="11">
        <v>3.36</v>
      </c>
      <c r="F41" s="12">
        <v>0.1056</v>
      </c>
      <c r="G41" s="10">
        <v>38.0</v>
      </c>
      <c r="H41" s="10">
        <v>1.0</v>
      </c>
      <c r="I41" s="10" t="s">
        <v>9</v>
      </c>
      <c r="J41" s="10" t="s">
        <v>40</v>
      </c>
      <c r="K41" s="10" t="s">
        <v>41</v>
      </c>
      <c r="L41" s="23">
        <v>6.0</v>
      </c>
      <c r="M41" s="23">
        <v>3.0</v>
      </c>
      <c r="N41" s="23">
        <v>3.0</v>
      </c>
      <c r="O41" s="23">
        <v>11.0</v>
      </c>
      <c r="P41" s="23">
        <v>2.0</v>
      </c>
      <c r="Q41" s="23" t="s">
        <v>23</v>
      </c>
      <c r="R41" s="23"/>
      <c r="S41" s="23">
        <v>1.0</v>
      </c>
      <c r="T41" s="23"/>
      <c r="U41" s="10" t="s">
        <v>23</v>
      </c>
    </row>
    <row r="42">
      <c r="A42" s="9" t="str">
        <f>HYPERLINK("https://docs.google.com/spreadsheets/d/14eN4V4imd53x81UQVckjyAx_2xIFGXJ8NE4XmE1oDkg/edit?usp=sharing","Jenna Lewis")</f>
        <v>Jenna Lewis</v>
      </c>
      <c r="B42" s="10">
        <v>1.0</v>
      </c>
      <c r="C42" s="10">
        <v>47.0</v>
      </c>
      <c r="D42" s="10">
        <v>9.0</v>
      </c>
      <c r="E42" s="11">
        <v>5.22</v>
      </c>
      <c r="F42" s="14">
        <v>0.0715</v>
      </c>
      <c r="G42" s="10">
        <v>27.0</v>
      </c>
      <c r="H42" s="10">
        <v>1.0</v>
      </c>
      <c r="I42" s="10" t="s">
        <v>9</v>
      </c>
      <c r="J42" s="10" t="s">
        <v>48</v>
      </c>
      <c r="K42" s="10" t="s">
        <v>49</v>
      </c>
      <c r="L42" s="13">
        <v>6.0</v>
      </c>
      <c r="M42" s="13">
        <v>3.0</v>
      </c>
      <c r="N42" s="13" t="s">
        <v>23</v>
      </c>
      <c r="O42" s="13">
        <v>6.0</v>
      </c>
      <c r="P42" s="10" t="s">
        <v>23</v>
      </c>
      <c r="Q42" s="10" t="s">
        <v>23</v>
      </c>
      <c r="R42" s="10"/>
      <c r="S42" s="10" t="s">
        <v>23</v>
      </c>
      <c r="T42" s="10"/>
      <c r="U42" s="10" t="s">
        <v>23</v>
      </c>
    </row>
    <row r="43">
      <c r="A43" s="9" t="str">
        <f>HYPERLINK("https://docs.google.com/spreadsheets/d/1nRsx7fR5xbH1eAbI_vBDvqXOgh7mXIwmZNhzrVL6oGM/edit?usp=sharing","Paschal English")</f>
        <v>Paschal English</v>
      </c>
      <c r="B43" s="10">
        <v>4.0</v>
      </c>
      <c r="C43" s="10">
        <v>46.0</v>
      </c>
      <c r="D43" s="10">
        <v>13.0</v>
      </c>
      <c r="E43" s="11">
        <v>3.54</v>
      </c>
      <c r="F43" s="12">
        <v>0.0962</v>
      </c>
      <c r="G43" s="10">
        <v>37.0</v>
      </c>
      <c r="H43" s="10" t="s">
        <v>23</v>
      </c>
      <c r="I43" s="10" t="s">
        <v>9</v>
      </c>
      <c r="J43" s="10" t="s">
        <v>37</v>
      </c>
      <c r="K43" s="10" t="s">
        <v>38</v>
      </c>
      <c r="L43" s="13">
        <v>6.0</v>
      </c>
      <c r="M43" s="13">
        <v>4.0</v>
      </c>
      <c r="N43" s="13" t="s">
        <v>23</v>
      </c>
      <c r="O43" s="13">
        <v>9.0</v>
      </c>
      <c r="P43" s="10" t="s">
        <v>23</v>
      </c>
      <c r="Q43" s="10" t="s">
        <v>23</v>
      </c>
      <c r="R43" s="10"/>
      <c r="S43" s="10" t="s">
        <v>23</v>
      </c>
      <c r="T43" s="10"/>
      <c r="U43" s="10" t="s">
        <v>23</v>
      </c>
    </row>
    <row r="44">
      <c r="A44" s="9" t="str">
        <f>HYPERLINK("https://docs.google.com/spreadsheets/d/1iNFGyKFcJm-tPp7Dg94yi7mHCDbJssmAD_PiaDM_tAE/edit?usp=sharing","Jeremy Collins")</f>
        <v>Jeremy Collins</v>
      </c>
      <c r="B44" s="10">
        <v>29.0</v>
      </c>
      <c r="C44" s="10">
        <v>46.0</v>
      </c>
      <c r="D44" s="10">
        <v>9.0</v>
      </c>
      <c r="E44" s="11">
        <v>5.11</v>
      </c>
      <c r="F44" s="12">
        <v>0.1034</v>
      </c>
      <c r="G44" s="10">
        <v>24.0</v>
      </c>
      <c r="H44" s="10" t="s">
        <v>23</v>
      </c>
      <c r="I44" s="10" t="s">
        <v>9</v>
      </c>
      <c r="J44" s="10" t="s">
        <v>48</v>
      </c>
      <c r="K44" s="10" t="s">
        <v>68</v>
      </c>
      <c r="L44" s="23">
        <v>5.0</v>
      </c>
      <c r="M44" s="23">
        <v>5.0</v>
      </c>
      <c r="N44" s="23">
        <v>1.0</v>
      </c>
      <c r="O44" s="23">
        <v>3.0</v>
      </c>
      <c r="P44" s="23">
        <v>2.0</v>
      </c>
      <c r="Q44" s="23" t="s">
        <v>23</v>
      </c>
      <c r="R44" s="23"/>
      <c r="S44" s="13" t="s">
        <v>23</v>
      </c>
      <c r="T44" s="13"/>
      <c r="U44" s="10" t="s">
        <v>23</v>
      </c>
    </row>
    <row r="45">
      <c r="A45" s="9" t="str">
        <f>HYPERLINK("https://docs.google.com/spreadsheets/d/1X-5lK1sJCBpvE08rC1VdSsGvayqyrC62cK7W45Q4XX8/edit?usp=sharing","Ciera Eastin")</f>
        <v>Ciera Eastin</v>
      </c>
      <c r="B45" s="10">
        <v>27.0</v>
      </c>
      <c r="C45" s="10">
        <v>46.0</v>
      </c>
      <c r="D45" s="10">
        <v>14.0</v>
      </c>
      <c r="E45" s="11">
        <v>3.29</v>
      </c>
      <c r="F45" s="12">
        <v>0.1062</v>
      </c>
      <c r="G45" s="10">
        <v>37.0</v>
      </c>
      <c r="H45" s="10">
        <v>2.0</v>
      </c>
      <c r="I45" s="10" t="s">
        <v>9</v>
      </c>
      <c r="J45" s="10" t="s">
        <v>24</v>
      </c>
      <c r="K45" s="10" t="s">
        <v>67</v>
      </c>
      <c r="L45" s="13">
        <v>6.0</v>
      </c>
      <c r="M45" s="13">
        <v>3.0</v>
      </c>
      <c r="N45" s="13">
        <v>1.0</v>
      </c>
      <c r="O45" s="13">
        <v>12.0</v>
      </c>
      <c r="P45" s="13" t="s">
        <v>23</v>
      </c>
      <c r="Q45" s="13" t="s">
        <v>23</v>
      </c>
      <c r="R45" s="13"/>
      <c r="S45" s="10" t="s">
        <v>23</v>
      </c>
      <c r="T45" s="10"/>
      <c r="U45" s="10" t="s">
        <v>23</v>
      </c>
    </row>
    <row r="46">
      <c r="A46" s="15" t="str">
        <f>HYPERLINK("https://docs.google.com/spreadsheets/d/1t379i2CYDM1ZVdZZy_Nj2m3ht6Sp4J68-xZ2v4-PIMo/edit?usp=sharing","Kyle Jason")</f>
        <v>Kyle Jason</v>
      </c>
      <c r="B46" s="13">
        <v>32.0</v>
      </c>
      <c r="C46" s="13">
        <v>44.0</v>
      </c>
      <c r="D46" s="13">
        <v>12.0</v>
      </c>
      <c r="E46" s="16">
        <v>3.67</v>
      </c>
      <c r="F46" s="17">
        <v>0.0891</v>
      </c>
      <c r="G46" s="13">
        <v>32.0</v>
      </c>
      <c r="H46" s="13">
        <v>1.0</v>
      </c>
      <c r="I46" s="13" t="s">
        <v>9</v>
      </c>
      <c r="J46" s="13" t="s">
        <v>37</v>
      </c>
      <c r="K46" s="13" t="s">
        <v>56</v>
      </c>
      <c r="L46" s="13">
        <v>4.0</v>
      </c>
      <c r="M46" s="13">
        <v>3.0</v>
      </c>
      <c r="N46" s="13">
        <v>1.0</v>
      </c>
      <c r="O46" s="13">
        <v>8.0</v>
      </c>
      <c r="P46" s="13" t="s">
        <v>23</v>
      </c>
      <c r="Q46" s="13" t="s">
        <v>23</v>
      </c>
      <c r="R46" s="13"/>
      <c r="S46" s="13">
        <v>1.0</v>
      </c>
      <c r="T46" s="13"/>
      <c r="U46" s="13" t="s">
        <v>23</v>
      </c>
    </row>
    <row r="47">
      <c r="A47" s="9" t="str">
        <f>HYPERLINK("https://docs.google.com/spreadsheets/d/1EsGJrNyA7pLwFUlZ6WfOkbnPz58Cle9N9c6epQSDRVA/edit?usp=sharing","Kelley Wentworth")</f>
        <v>Kelley Wentworth</v>
      </c>
      <c r="B47" s="10">
        <v>31.0</v>
      </c>
      <c r="C47" s="10">
        <v>44.0</v>
      </c>
      <c r="D47" s="10">
        <v>14.0</v>
      </c>
      <c r="E47" s="11">
        <v>3.14</v>
      </c>
      <c r="F47" s="12">
        <v>0.1005</v>
      </c>
      <c r="G47" s="10">
        <v>38.0</v>
      </c>
      <c r="H47" s="10" t="s">
        <v>23</v>
      </c>
      <c r="I47" s="10" t="s">
        <v>9</v>
      </c>
      <c r="J47" s="10" t="s">
        <v>54</v>
      </c>
      <c r="K47" s="10" t="s">
        <v>55</v>
      </c>
      <c r="L47" s="13">
        <v>7.0</v>
      </c>
      <c r="M47" s="13">
        <v>4.0</v>
      </c>
      <c r="N47" s="13">
        <v>2.0</v>
      </c>
      <c r="O47" s="13">
        <v>12.0</v>
      </c>
      <c r="P47" s="10" t="s">
        <v>23</v>
      </c>
      <c r="Q47" s="10" t="s">
        <v>23</v>
      </c>
      <c r="R47" s="10"/>
      <c r="S47" s="10">
        <v>2.0</v>
      </c>
      <c r="T47" s="10"/>
      <c r="U47" s="10" t="s">
        <v>23</v>
      </c>
    </row>
    <row r="48">
      <c r="A48" s="9" t="str">
        <f>HYPERLINK("https://docs.google.com/spreadsheets/d/1EsGJrNyA7pLwFUlZ6WfOkbnPz58Cle9N9c6epQSDRVA/edit?usp=sharing","Stephen Fishbach")</f>
        <v>Stephen Fishbach</v>
      </c>
      <c r="B48" s="10">
        <v>31.0</v>
      </c>
      <c r="C48" s="10">
        <v>42.0</v>
      </c>
      <c r="D48" s="10">
        <v>11.0</v>
      </c>
      <c r="E48" s="11">
        <v>3.82</v>
      </c>
      <c r="F48" s="12">
        <v>0.0959</v>
      </c>
      <c r="G48" s="10">
        <v>29.0</v>
      </c>
      <c r="H48" s="10">
        <v>1.0</v>
      </c>
      <c r="I48" s="10" t="s">
        <v>9</v>
      </c>
      <c r="J48" s="10" t="s">
        <v>46</v>
      </c>
      <c r="K48" s="10" t="s">
        <v>63</v>
      </c>
      <c r="L48" s="13">
        <v>5.0</v>
      </c>
      <c r="M48" s="13">
        <v>5.0</v>
      </c>
      <c r="N48" s="13" t="s">
        <v>23</v>
      </c>
      <c r="O48" s="13">
        <v>6.0</v>
      </c>
      <c r="P48" s="10" t="s">
        <v>23</v>
      </c>
      <c r="Q48" s="10" t="s">
        <v>23</v>
      </c>
      <c r="R48" s="10"/>
      <c r="S48" s="10" t="s">
        <v>23</v>
      </c>
      <c r="T48" s="10"/>
      <c r="U48" s="10" t="s">
        <v>23</v>
      </c>
    </row>
    <row r="49">
      <c r="A49" s="9" t="str">
        <f>HYPERLINK("https://docs.google.com/spreadsheets/d/1nYlVL4RxK2ZUH-a4MfKCalHyEjDRWz2ZumhyoaYsjTE/edit?usp=sharing","Marty Piombo")</f>
        <v>Marty Piombo</v>
      </c>
      <c r="B49" s="10">
        <v>21.0</v>
      </c>
      <c r="C49" s="10">
        <v>42.0</v>
      </c>
      <c r="D49" s="10">
        <v>9.0</v>
      </c>
      <c r="E49" s="11">
        <v>4.67</v>
      </c>
      <c r="F49" s="12">
        <v>0.101</v>
      </c>
      <c r="G49" s="10">
        <v>24.0</v>
      </c>
      <c r="H49" s="10" t="s">
        <v>23</v>
      </c>
      <c r="I49" s="10" t="s">
        <v>9</v>
      </c>
      <c r="J49" s="10" t="s">
        <v>48</v>
      </c>
      <c r="K49" s="10" t="s">
        <v>69</v>
      </c>
      <c r="L49" s="13">
        <v>4.0</v>
      </c>
      <c r="M49" s="13">
        <v>2.0</v>
      </c>
      <c r="N49" s="13" t="s">
        <v>23</v>
      </c>
      <c r="O49" s="13">
        <v>7.0</v>
      </c>
      <c r="P49" s="10" t="s">
        <v>23</v>
      </c>
      <c r="Q49" s="10" t="s">
        <v>23</v>
      </c>
      <c r="R49" s="10"/>
      <c r="S49" s="10">
        <v>1.0</v>
      </c>
      <c r="T49" s="10"/>
      <c r="U49" s="10" t="s">
        <v>23</v>
      </c>
    </row>
    <row r="50">
      <c r="A50" s="9" t="str">
        <f>HYPERLINK("https://docs.google.com/spreadsheets/d/1w0I5RoQ7uENhUG1ncC5V9B3b6BQapplx180-f9F9s4w/edit?usp=sharing","Deena Bennett")</f>
        <v>Deena Bennett</v>
      </c>
      <c r="B50" s="10">
        <v>6.0</v>
      </c>
      <c r="C50" s="10">
        <v>42.0</v>
      </c>
      <c r="D50" s="10">
        <v>9.0</v>
      </c>
      <c r="E50" s="11">
        <v>4.67</v>
      </c>
      <c r="F50" s="12">
        <v>0.0864</v>
      </c>
      <c r="G50" s="10">
        <v>27.0</v>
      </c>
      <c r="H50" s="10" t="s">
        <v>23</v>
      </c>
      <c r="I50" s="10" t="s">
        <v>9</v>
      </c>
      <c r="J50" s="10" t="s">
        <v>48</v>
      </c>
      <c r="K50" s="10" t="s">
        <v>49</v>
      </c>
      <c r="L50" s="13">
        <v>4.0</v>
      </c>
      <c r="M50" s="13">
        <v>3.0</v>
      </c>
      <c r="N50" s="13">
        <v>1.0</v>
      </c>
      <c r="O50" s="13">
        <v>6.0</v>
      </c>
      <c r="P50" s="10" t="s">
        <v>23</v>
      </c>
      <c r="Q50" s="10" t="s">
        <v>23</v>
      </c>
      <c r="R50" s="10"/>
      <c r="S50" s="10" t="s">
        <v>23</v>
      </c>
      <c r="T50" s="10"/>
      <c r="U50" s="10" t="s">
        <v>23</v>
      </c>
    </row>
    <row r="51">
      <c r="A51" s="9" t="str">
        <f>HYPERLINK("https://docs.google.com/spreadsheets/d/1hg_GT4r2smQsgkwEYBqHOukVavnNSyncsyfceWDpOho/edit?usp=sharing","Jenna Lewis")</f>
        <v>Jenna Lewis</v>
      </c>
      <c r="B51" s="10">
        <v>8.0</v>
      </c>
      <c r="C51" s="10">
        <v>41.0</v>
      </c>
      <c r="D51" s="10">
        <v>15.0</v>
      </c>
      <c r="E51" s="11">
        <v>2.73</v>
      </c>
      <c r="F51" s="12">
        <v>0.0809</v>
      </c>
      <c r="G51" s="10">
        <v>38.0</v>
      </c>
      <c r="H51" s="10">
        <v>2.0</v>
      </c>
      <c r="I51" s="10" t="s">
        <v>9</v>
      </c>
      <c r="J51" s="10" t="s">
        <v>24</v>
      </c>
      <c r="K51" s="10" t="s">
        <v>34</v>
      </c>
      <c r="L51" s="13">
        <v>9.0</v>
      </c>
      <c r="M51" s="13">
        <v>4.0</v>
      </c>
      <c r="N51" s="13" t="s">
        <v>23</v>
      </c>
      <c r="O51" s="13">
        <v>9.0</v>
      </c>
      <c r="P51" s="10" t="s">
        <v>23</v>
      </c>
      <c r="Q51" s="10" t="s">
        <v>23</v>
      </c>
      <c r="R51" s="10"/>
      <c r="S51" s="10" t="s">
        <v>23</v>
      </c>
      <c r="T51" s="10"/>
      <c r="U51" s="10" t="s">
        <v>23</v>
      </c>
    </row>
    <row r="52">
      <c r="A52" s="19" t="str">
        <f>HYPERLINK("https://docs.google.com/spreadsheets/d/1TniiK35-AGMNddj9lkge_tT9QfOGXMfX2thnTv8npTo/edit?usp=sharing","Jake Billingsley")</f>
        <v>Jake Billingsley</v>
      </c>
      <c r="B52" s="20">
        <v>5.0</v>
      </c>
      <c r="C52" s="21">
        <v>41.0</v>
      </c>
      <c r="D52" s="20">
        <v>11.0</v>
      </c>
      <c r="E52" s="22">
        <v>3.73</v>
      </c>
      <c r="F52" s="14">
        <v>0.0849</v>
      </c>
      <c r="G52" s="21">
        <v>33.0</v>
      </c>
      <c r="H52" s="21">
        <v>2.0</v>
      </c>
      <c r="I52" s="10" t="s">
        <v>9</v>
      </c>
      <c r="J52" s="21" t="s">
        <v>58</v>
      </c>
      <c r="K52" s="20" t="s">
        <v>59</v>
      </c>
      <c r="L52" s="13">
        <v>5.0</v>
      </c>
      <c r="M52" s="13">
        <v>3.0</v>
      </c>
      <c r="N52" s="13" t="s">
        <v>23</v>
      </c>
      <c r="O52" s="13">
        <v>8.0</v>
      </c>
      <c r="P52" s="10" t="s">
        <v>23</v>
      </c>
      <c r="Q52" s="10" t="s">
        <v>23</v>
      </c>
      <c r="R52" s="10"/>
      <c r="S52" s="10" t="s">
        <v>23</v>
      </c>
      <c r="T52" s="10"/>
      <c r="U52" s="10" t="s">
        <v>23</v>
      </c>
    </row>
    <row r="53">
      <c r="A53" s="9" t="str">
        <f>HYPERLINK("https://docs.google.com/spreadsheets/d/1v6gXy2rHfH0CkzT8zUZyZm6b-WimbnBspkh1B5hksu4/edit?usp=sharing","Alicia Rosa")</f>
        <v>Alicia Rosa</v>
      </c>
      <c r="B53" s="10">
        <v>24.0</v>
      </c>
      <c r="C53" s="10">
        <v>41.0</v>
      </c>
      <c r="D53" s="10">
        <v>14.0</v>
      </c>
      <c r="E53" s="11">
        <v>2.93</v>
      </c>
      <c r="F53" s="12">
        <v>0.1073</v>
      </c>
      <c r="G53" s="10">
        <v>37.0</v>
      </c>
      <c r="H53" s="10">
        <v>2.0</v>
      </c>
      <c r="I53" s="10" t="s">
        <v>9</v>
      </c>
      <c r="J53" s="10" t="s">
        <v>40</v>
      </c>
      <c r="K53" s="10" t="s">
        <v>70</v>
      </c>
      <c r="L53" s="13">
        <v>7.0</v>
      </c>
      <c r="M53" s="13">
        <v>2.0</v>
      </c>
      <c r="N53" s="13">
        <v>1.0</v>
      </c>
      <c r="O53" s="13">
        <v>10.0</v>
      </c>
      <c r="P53" s="10" t="s">
        <v>23</v>
      </c>
      <c r="Q53" s="10" t="s">
        <v>23</v>
      </c>
      <c r="R53" s="10"/>
      <c r="S53" s="10" t="s">
        <v>23</v>
      </c>
      <c r="T53" s="10"/>
      <c r="U53" s="10" t="s">
        <v>23</v>
      </c>
    </row>
    <row r="54">
      <c r="A54" s="15" t="str">
        <f>HYPERLINK("https://docs.google.com/spreadsheets/d/1q-5bbq9txg93Y0eUACxRPTIN5PuRjeDVpNDfeXEw4iE/edit?usp=sharing","Devon Pinto")</f>
        <v>Devon Pinto</v>
      </c>
      <c r="B54" s="13">
        <v>35.0</v>
      </c>
      <c r="C54" s="13">
        <v>41.0</v>
      </c>
      <c r="D54" s="13">
        <v>14.0</v>
      </c>
      <c r="E54" s="16">
        <v>2.93</v>
      </c>
      <c r="F54" s="17">
        <v>0.0951</v>
      </c>
      <c r="G54" s="13">
        <v>38.0</v>
      </c>
      <c r="H54" s="13" t="s">
        <v>23</v>
      </c>
      <c r="I54" s="13" t="s">
        <v>9</v>
      </c>
      <c r="J54" s="13" t="s">
        <v>46</v>
      </c>
      <c r="K54" s="13" t="s">
        <v>41</v>
      </c>
      <c r="L54" s="13">
        <v>7.0</v>
      </c>
      <c r="M54" s="13">
        <v>3.0</v>
      </c>
      <c r="N54" s="13" t="s">
        <v>23</v>
      </c>
      <c r="O54" s="13">
        <v>12.0</v>
      </c>
      <c r="P54" s="13" t="s">
        <v>23</v>
      </c>
      <c r="Q54" s="13" t="s">
        <v>23</v>
      </c>
      <c r="R54" s="13"/>
      <c r="S54" s="13" t="s">
        <v>23</v>
      </c>
      <c r="T54" s="13">
        <v>1.0</v>
      </c>
      <c r="U54" s="13" t="s">
        <v>23</v>
      </c>
    </row>
    <row r="55">
      <c r="A55" s="15" t="str">
        <f>HYPERLINK("https://docs.google.com/spreadsheets/d/1Hf_PbZTXAuooCoiF7c3Bz80t5-zCjdWHF8wQ_HyodNs/edit?usp=sharing","Kellyn Bechtold")</f>
        <v>Kellyn Bechtold</v>
      </c>
      <c r="B55" s="13">
        <v>36.0</v>
      </c>
      <c r="C55" s="13">
        <v>41.0</v>
      </c>
      <c r="D55" s="13">
        <v>13.0</v>
      </c>
      <c r="E55" s="16">
        <v>3.15</v>
      </c>
      <c r="F55" s="17">
        <v>0.1043</v>
      </c>
      <c r="G55" s="13">
        <v>35.0</v>
      </c>
      <c r="H55" s="13">
        <v>1.0</v>
      </c>
      <c r="I55" s="13" t="s">
        <v>9</v>
      </c>
      <c r="J55" s="13" t="s">
        <v>24</v>
      </c>
      <c r="K55" s="13" t="s">
        <v>44</v>
      </c>
      <c r="L55" s="13">
        <v>4.0</v>
      </c>
      <c r="M55" s="13">
        <v>4.0</v>
      </c>
      <c r="N55" s="13">
        <v>1.0</v>
      </c>
      <c r="O55" s="13">
        <v>9.0</v>
      </c>
      <c r="P55" s="13">
        <v>2.0</v>
      </c>
      <c r="Q55" s="13" t="s">
        <v>23</v>
      </c>
      <c r="R55" s="13"/>
      <c r="S55" s="13" t="s">
        <v>23</v>
      </c>
      <c r="T55" s="13">
        <v>1.0</v>
      </c>
      <c r="U55" s="13" t="s">
        <v>23</v>
      </c>
    </row>
    <row r="56">
      <c r="A56" s="15" t="str">
        <f>HYPERLINK("https://docs.google.com/spreadsheets/d/1ZajpFwOHrMmupCcACeLhLTzPOwhTrjKRR1FJtUgeLww/edit?usp=sharing","Zeke Smith")</f>
        <v>Zeke Smith</v>
      </c>
      <c r="B56" s="13">
        <v>33.0</v>
      </c>
      <c r="C56" s="13">
        <v>40.0</v>
      </c>
      <c r="D56" s="13">
        <v>12.0</v>
      </c>
      <c r="E56" s="16">
        <v>3.33</v>
      </c>
      <c r="F56" s="17">
        <v>0.092</v>
      </c>
      <c r="G56" s="13">
        <v>33.0</v>
      </c>
      <c r="H56" s="13" t="s">
        <v>23</v>
      </c>
      <c r="I56" s="13" t="s">
        <v>9</v>
      </c>
      <c r="J56" s="13" t="s">
        <v>46</v>
      </c>
      <c r="K56" s="13" t="s">
        <v>63</v>
      </c>
      <c r="L56" s="13">
        <v>7.0</v>
      </c>
      <c r="M56" s="13">
        <v>5.0</v>
      </c>
      <c r="N56" s="13" t="s">
        <v>23</v>
      </c>
      <c r="O56" s="13">
        <v>7.0</v>
      </c>
      <c r="P56" s="13" t="s">
        <v>23</v>
      </c>
      <c r="Q56" s="13" t="s">
        <v>23</v>
      </c>
      <c r="R56" s="13"/>
      <c r="S56" s="13" t="s">
        <v>23</v>
      </c>
      <c r="T56" s="13" t="s">
        <v>23</v>
      </c>
      <c r="U56" s="13" t="s">
        <v>23</v>
      </c>
    </row>
    <row r="57">
      <c r="A57" s="9" t="str">
        <f>HYPERLINK("https://docs.google.com/spreadsheets/d/1LR80O0PvsOvoTuN5gHQd3Rls4b1rZmJd7EZ_DR2oRHs/edit?usp=sharing","Reynold Toepfer")</f>
        <v>Reynold Toepfer</v>
      </c>
      <c r="B57" s="10">
        <v>26.0</v>
      </c>
      <c r="C57" s="10">
        <v>40.0</v>
      </c>
      <c r="D57" s="10">
        <v>12.0</v>
      </c>
      <c r="E57" s="11">
        <v>3.33</v>
      </c>
      <c r="F57" s="12">
        <v>0.0969</v>
      </c>
      <c r="G57" s="10">
        <v>31.0</v>
      </c>
      <c r="H57" s="10" t="s">
        <v>23</v>
      </c>
      <c r="I57" s="10" t="s">
        <v>9</v>
      </c>
      <c r="J57" s="10" t="s">
        <v>58</v>
      </c>
      <c r="K57" s="10" t="s">
        <v>71</v>
      </c>
      <c r="L57" s="13">
        <v>5.0</v>
      </c>
      <c r="M57" s="13">
        <v>4.0</v>
      </c>
      <c r="N57" s="13">
        <v>1.0</v>
      </c>
      <c r="O57" s="13">
        <v>8.0</v>
      </c>
      <c r="P57" s="10" t="s">
        <v>23</v>
      </c>
      <c r="Q57" s="10" t="s">
        <v>23</v>
      </c>
      <c r="R57" s="10"/>
      <c r="S57" s="10">
        <v>2.0</v>
      </c>
      <c r="T57" s="10"/>
      <c r="U57" s="10" t="s">
        <v>23</v>
      </c>
    </row>
    <row r="58">
      <c r="A58" s="15" t="str">
        <f>HYPERLINK("https://docs.google.com/spreadsheets/d/1sWOJC8eB6rVdXdWiWMgfbfgw2325jIh1ODKxyaCmSGc/edit?usp=sharing","Judd Sergeant")</f>
        <v>Judd Sergeant</v>
      </c>
      <c r="B58" s="13">
        <v>11.0</v>
      </c>
      <c r="C58" s="13">
        <v>40.0</v>
      </c>
      <c r="D58" s="13">
        <v>12.0</v>
      </c>
      <c r="E58" s="16">
        <v>3.33</v>
      </c>
      <c r="F58" s="17">
        <v>0.0907</v>
      </c>
      <c r="G58" s="13">
        <v>33.0</v>
      </c>
      <c r="H58" s="13" t="s">
        <v>23</v>
      </c>
      <c r="I58" s="13" t="s">
        <v>9</v>
      </c>
      <c r="J58" s="13" t="s">
        <v>58</v>
      </c>
      <c r="K58" s="13" t="s">
        <v>56</v>
      </c>
      <c r="L58" s="13">
        <v>8.0</v>
      </c>
      <c r="M58" s="13">
        <v>4.0</v>
      </c>
      <c r="N58" s="13" t="s">
        <v>23</v>
      </c>
      <c r="O58" s="13">
        <v>8.0</v>
      </c>
      <c r="P58" s="13" t="s">
        <v>23</v>
      </c>
      <c r="Q58" s="13" t="s">
        <v>23</v>
      </c>
      <c r="R58" s="13"/>
      <c r="S58" s="13" t="s">
        <v>23</v>
      </c>
      <c r="T58" s="13"/>
      <c r="U58" s="13" t="s">
        <v>23</v>
      </c>
    </row>
    <row r="59">
      <c r="A59" s="9" t="str">
        <f>HYPERLINK("https://docs.google.com/spreadsheets/d/1w0I5RoQ7uENhUG1ncC5V9B3b6BQapplx180-f9F9s4w/edit?usp=sharing","Heidi Strobel")</f>
        <v>Heidi Strobel</v>
      </c>
      <c r="B59" s="10">
        <v>6.0</v>
      </c>
      <c r="C59" s="10">
        <v>40.0</v>
      </c>
      <c r="D59" s="10">
        <v>12.0</v>
      </c>
      <c r="E59" s="11">
        <v>3.33</v>
      </c>
      <c r="F59" s="12">
        <v>0.0823</v>
      </c>
      <c r="G59" s="10">
        <v>36.0</v>
      </c>
      <c r="H59" s="10" t="s">
        <v>23</v>
      </c>
      <c r="I59" s="10" t="s">
        <v>9</v>
      </c>
      <c r="J59" s="10" t="s">
        <v>46</v>
      </c>
      <c r="K59" s="10" t="s">
        <v>52</v>
      </c>
      <c r="L59" s="13">
        <v>6.0</v>
      </c>
      <c r="M59" s="13">
        <v>3.0</v>
      </c>
      <c r="N59" s="13" t="s">
        <v>23</v>
      </c>
      <c r="O59" s="13">
        <v>9.0</v>
      </c>
      <c r="P59" s="10" t="s">
        <v>23</v>
      </c>
      <c r="Q59" s="10" t="s">
        <v>23</v>
      </c>
      <c r="R59" s="10"/>
      <c r="S59" s="10" t="s">
        <v>23</v>
      </c>
      <c r="T59" s="10"/>
      <c r="U59" s="10" t="s">
        <v>23</v>
      </c>
    </row>
    <row r="60">
      <c r="A60" s="9" t="str">
        <f>HYPERLINK("https://docs.google.com/spreadsheets/d/1EZNO7rY3X3GsqJDX9iY8RpZJJDJ-K4nm_Mxm1g397N0/edit?usp=sharing","Frank Garrison")</f>
        <v>Frank Garrison</v>
      </c>
      <c r="B60" s="10">
        <v>3.0</v>
      </c>
      <c r="C60" s="10">
        <v>40.0</v>
      </c>
      <c r="D60" s="10">
        <v>10.0</v>
      </c>
      <c r="E60" s="11">
        <v>4.0</v>
      </c>
      <c r="F60" s="12">
        <v>0.08</v>
      </c>
      <c r="G60" s="10">
        <v>30.0</v>
      </c>
      <c r="H60" s="10" t="s">
        <v>23</v>
      </c>
      <c r="I60" s="10" t="s">
        <v>9</v>
      </c>
      <c r="J60" s="10" t="s">
        <v>43</v>
      </c>
      <c r="K60" s="10" t="s">
        <v>57</v>
      </c>
      <c r="L60" s="13">
        <v>7.0</v>
      </c>
      <c r="M60" s="13">
        <v>3.0</v>
      </c>
      <c r="N60" s="13" t="s">
        <v>23</v>
      </c>
      <c r="O60" s="13">
        <v>7.0</v>
      </c>
      <c r="P60" s="10" t="s">
        <v>23</v>
      </c>
      <c r="Q60" s="10" t="s">
        <v>23</v>
      </c>
      <c r="R60" s="10"/>
      <c r="S60" s="10" t="s">
        <v>23</v>
      </c>
      <c r="T60" s="10"/>
      <c r="U60" s="10" t="s">
        <v>23</v>
      </c>
    </row>
    <row r="61">
      <c r="A61" s="18" t="s">
        <v>72</v>
      </c>
      <c r="B61" s="13">
        <v>40.0</v>
      </c>
      <c r="C61" s="13">
        <v>40.0</v>
      </c>
      <c r="D61" s="13">
        <v>15.0</v>
      </c>
      <c r="E61" s="16">
        <v>2.67</v>
      </c>
      <c r="F61" s="17">
        <v>0.0698</v>
      </c>
      <c r="G61" s="13">
        <v>38.0</v>
      </c>
      <c r="H61" s="13">
        <v>1.0</v>
      </c>
      <c r="I61" s="13" t="s">
        <v>9</v>
      </c>
      <c r="J61" s="13" t="s">
        <v>73</v>
      </c>
      <c r="K61" s="13" t="s">
        <v>55</v>
      </c>
      <c r="L61" s="13">
        <v>4.0</v>
      </c>
      <c r="M61" s="13">
        <v>5.0</v>
      </c>
      <c r="N61" s="13" t="s">
        <v>23</v>
      </c>
      <c r="O61" s="13">
        <v>13.0</v>
      </c>
      <c r="P61" s="13" t="s">
        <v>23</v>
      </c>
      <c r="Q61" s="13" t="s">
        <v>23</v>
      </c>
      <c r="R61" s="13" t="s">
        <v>23</v>
      </c>
      <c r="S61" s="13">
        <v>1.0</v>
      </c>
      <c r="T61" s="13">
        <v>4.0</v>
      </c>
      <c r="U61" s="13" t="s">
        <v>23</v>
      </c>
    </row>
    <row r="62">
      <c r="A62" s="15" t="str">
        <f>HYPERLINK("https://docs.google.com/spreadsheets/d/1tElnwN2HVf964gGw8Ei53RyfjarS40wkDY3zivAPWp0/edit?usp=sharing","Cirie Fields")</f>
        <v>Cirie Fields</v>
      </c>
      <c r="B62" s="13">
        <v>34.0</v>
      </c>
      <c r="C62" s="13">
        <v>39.0</v>
      </c>
      <c r="D62" s="13">
        <v>14.0</v>
      </c>
      <c r="E62" s="16">
        <v>2.79</v>
      </c>
      <c r="F62" s="17">
        <v>0.0947</v>
      </c>
      <c r="G62" s="13">
        <v>36.0</v>
      </c>
      <c r="H62" s="13">
        <v>2.0</v>
      </c>
      <c r="I62" s="13" t="s">
        <v>9</v>
      </c>
      <c r="J62" s="13" t="s">
        <v>40</v>
      </c>
      <c r="K62" s="13" t="s">
        <v>65</v>
      </c>
      <c r="L62" s="13">
        <v>6.0</v>
      </c>
      <c r="M62" s="13">
        <v>7.0</v>
      </c>
      <c r="N62" s="13" t="s">
        <v>23</v>
      </c>
      <c r="O62" s="13">
        <v>8.0</v>
      </c>
      <c r="P62" s="13" t="s">
        <v>23</v>
      </c>
      <c r="Q62" s="13" t="s">
        <v>23</v>
      </c>
      <c r="R62" s="13"/>
      <c r="S62" s="13" t="s">
        <v>23</v>
      </c>
      <c r="T62" s="13">
        <v>1.0</v>
      </c>
      <c r="U62" s="13" t="s">
        <v>23</v>
      </c>
    </row>
    <row r="63">
      <c r="A63" s="15" t="str">
        <f>HYPERLINK("https://docs.google.com/spreadsheets/d/1sWOJC8eB6rVdXdWiWMgfbfgw2325jIh1ODKxyaCmSGc/edit?usp=sharing","Gary Hogeboom")</f>
        <v>Gary Hogeboom</v>
      </c>
      <c r="B63" s="13">
        <v>11.0</v>
      </c>
      <c r="C63" s="13">
        <v>38.0</v>
      </c>
      <c r="D63" s="13">
        <v>11.0</v>
      </c>
      <c r="E63" s="16">
        <v>3.45</v>
      </c>
      <c r="F63" s="17">
        <v>0.0862</v>
      </c>
      <c r="G63" s="13">
        <v>30.0</v>
      </c>
      <c r="H63" s="13" t="s">
        <v>23</v>
      </c>
      <c r="I63" s="13" t="s">
        <v>9</v>
      </c>
      <c r="J63" s="13" t="s">
        <v>43</v>
      </c>
      <c r="K63" s="13" t="s">
        <v>66</v>
      </c>
      <c r="L63" s="13">
        <v>5.0</v>
      </c>
      <c r="M63" s="13">
        <v>2.0</v>
      </c>
      <c r="N63" s="13">
        <v>2.0</v>
      </c>
      <c r="O63" s="13">
        <v>9.0</v>
      </c>
      <c r="P63" s="13" t="s">
        <v>23</v>
      </c>
      <c r="Q63" s="13" t="s">
        <v>23</v>
      </c>
      <c r="R63" s="13"/>
      <c r="S63" s="13">
        <v>1.0</v>
      </c>
      <c r="T63" s="13" t="s">
        <v>23</v>
      </c>
      <c r="U63" s="13" t="s">
        <v>23</v>
      </c>
    </row>
    <row r="64">
      <c r="A64" s="15" t="str">
        <f>HYPERLINK("https://docs.google.com/spreadsheets/d/1yi_HtvN4TS5uRWCCFJg5RFaoouiIIe8CAtY_XnqP6iM/edit?usp=sharing","Ami Cusack")</f>
        <v>Ami Cusack</v>
      </c>
      <c r="B64" s="13">
        <v>9.0</v>
      </c>
      <c r="C64" s="13">
        <v>38.0</v>
      </c>
      <c r="D64" s="13">
        <v>12.0</v>
      </c>
      <c r="E64" s="16">
        <v>3.17</v>
      </c>
      <c r="F64" s="17">
        <v>0.0907</v>
      </c>
      <c r="G64" s="13">
        <v>33.0</v>
      </c>
      <c r="H64" s="13">
        <v>1.0</v>
      </c>
      <c r="I64" s="13" t="s">
        <v>9</v>
      </c>
      <c r="J64" s="13" t="s">
        <v>58</v>
      </c>
      <c r="K64" s="13" t="s">
        <v>56</v>
      </c>
      <c r="L64" s="13">
        <v>7.0</v>
      </c>
      <c r="M64" s="13">
        <v>3.0</v>
      </c>
      <c r="N64" s="13">
        <v>2.0</v>
      </c>
      <c r="O64" s="13">
        <v>9.0</v>
      </c>
      <c r="P64" s="10" t="s">
        <v>23</v>
      </c>
      <c r="Q64" s="10" t="s">
        <v>23</v>
      </c>
      <c r="R64" s="10"/>
      <c r="S64" s="10" t="s">
        <v>23</v>
      </c>
      <c r="T64" s="10"/>
      <c r="U64" s="10" t="s">
        <v>23</v>
      </c>
    </row>
    <row r="65">
      <c r="A65" s="18" t="s">
        <v>76</v>
      </c>
      <c r="B65" s="13">
        <v>40.0</v>
      </c>
      <c r="C65" s="13">
        <v>38.0</v>
      </c>
      <c r="D65" s="13">
        <v>15.0</v>
      </c>
      <c r="E65" s="16">
        <v>2.53</v>
      </c>
      <c r="F65" s="17">
        <v>0.0663</v>
      </c>
      <c r="G65" s="13">
        <v>37.0</v>
      </c>
      <c r="H65" s="13" t="s">
        <v>23</v>
      </c>
      <c r="I65" s="13" t="s">
        <v>9</v>
      </c>
      <c r="J65" s="13" t="s">
        <v>77</v>
      </c>
      <c r="K65" s="13" t="s">
        <v>67</v>
      </c>
      <c r="L65" s="13">
        <v>3.0</v>
      </c>
      <c r="M65" s="13">
        <v>4.0</v>
      </c>
      <c r="N65" s="13" t="s">
        <v>23</v>
      </c>
      <c r="O65" s="13">
        <v>13.0</v>
      </c>
      <c r="P65" s="13" t="s">
        <v>23</v>
      </c>
      <c r="Q65" s="13" t="s">
        <v>23</v>
      </c>
      <c r="R65" s="13" t="s">
        <v>23</v>
      </c>
      <c r="S65" s="13">
        <v>1.0</v>
      </c>
      <c r="T65" s="13" t="s">
        <v>23</v>
      </c>
      <c r="U65" s="13" t="s">
        <v>23</v>
      </c>
    </row>
    <row r="66">
      <c r="A66" s="9" t="str">
        <f>HYPERLINK("https://docs.google.com/spreadsheets/d/1hg_GT4r2smQsgkwEYBqHOukVavnNSyncsyfceWDpOho/edit?usp=sharing","Shii Ann Huang")</f>
        <v>Shii Ann Huang</v>
      </c>
      <c r="B66" s="10">
        <v>8.0</v>
      </c>
      <c r="C66" s="10">
        <v>37.0</v>
      </c>
      <c r="D66" s="10">
        <v>13.0</v>
      </c>
      <c r="E66" s="11">
        <v>2.85</v>
      </c>
      <c r="F66" s="12">
        <v>0.073</v>
      </c>
      <c r="G66" s="10">
        <v>33.0</v>
      </c>
      <c r="H66" s="10">
        <v>2.0</v>
      </c>
      <c r="I66" s="10" t="s">
        <v>9</v>
      </c>
      <c r="J66" s="10" t="s">
        <v>58</v>
      </c>
      <c r="K66" s="10" t="s">
        <v>56</v>
      </c>
      <c r="L66" s="13">
        <v>7.0</v>
      </c>
      <c r="M66" s="13">
        <v>3.0</v>
      </c>
      <c r="N66" s="13">
        <v>1.0</v>
      </c>
      <c r="O66" s="13">
        <v>8.0</v>
      </c>
      <c r="P66" s="10" t="s">
        <v>23</v>
      </c>
      <c r="Q66" s="10" t="s">
        <v>23</v>
      </c>
      <c r="R66" s="10"/>
      <c r="S66" s="10" t="s">
        <v>23</v>
      </c>
      <c r="T66" s="10"/>
      <c r="U66" s="10" t="s">
        <v>23</v>
      </c>
    </row>
    <row r="67">
      <c r="A67" s="15" t="str">
        <f>HYPERLINK("https://docs.google.com/spreadsheets/d/1VEbyebFdBtPJKQC_U2uGrW6_v1fn6Hsoz3YYLyCxHR0/edit?usp=sharing","Shane Powers")</f>
        <v>Shane Powers</v>
      </c>
      <c r="B67" s="13">
        <v>12.0</v>
      </c>
      <c r="C67" s="13">
        <v>37.0</v>
      </c>
      <c r="D67" s="13">
        <v>12.0</v>
      </c>
      <c r="E67" s="16">
        <v>3.08</v>
      </c>
      <c r="F67" s="17">
        <v>0.0124</v>
      </c>
      <c r="G67" s="13">
        <v>33.0</v>
      </c>
      <c r="H67" s="13">
        <v>2.0</v>
      </c>
      <c r="I67" s="13" t="s">
        <v>9</v>
      </c>
      <c r="J67" s="13" t="s">
        <v>46</v>
      </c>
      <c r="K67" s="13" t="s">
        <v>52</v>
      </c>
      <c r="L67" s="13">
        <v>6.0</v>
      </c>
      <c r="M67" s="13">
        <v>4.0</v>
      </c>
      <c r="N67" s="13" t="s">
        <v>23</v>
      </c>
      <c r="O67" s="13">
        <v>7.0</v>
      </c>
      <c r="P67" s="13" t="s">
        <v>23</v>
      </c>
      <c r="Q67" s="13" t="s">
        <v>23</v>
      </c>
      <c r="R67" s="13"/>
      <c r="S67" s="13" t="s">
        <v>23</v>
      </c>
      <c r="T67" s="13" t="s">
        <v>23</v>
      </c>
      <c r="U67" s="13" t="s">
        <v>23</v>
      </c>
    </row>
    <row r="68">
      <c r="A68" s="9" t="str">
        <f>HYPERLINK("https://docs.google.com/spreadsheets/d/1HA0vQC0CSnQtVc8u58vwNd3sIFCc79SKVqM1abMG1hI/edit?usp=sharing","Dan Foley")</f>
        <v>Dan Foley</v>
      </c>
      <c r="B68" s="10">
        <v>30.0</v>
      </c>
      <c r="C68" s="10">
        <v>37.0</v>
      </c>
      <c r="D68" s="10">
        <v>13.0</v>
      </c>
      <c r="E68" s="11">
        <v>2.85</v>
      </c>
      <c r="F68" s="12">
        <v>0.081</v>
      </c>
      <c r="G68" s="10">
        <v>35.0</v>
      </c>
      <c r="H68" s="10">
        <v>2.0</v>
      </c>
      <c r="I68" s="10" t="s">
        <v>9</v>
      </c>
      <c r="J68" s="10" t="s">
        <v>37</v>
      </c>
      <c r="K68" s="10" t="s">
        <v>56</v>
      </c>
      <c r="L68" s="13">
        <v>8.0</v>
      </c>
      <c r="M68" s="13">
        <v>4.0</v>
      </c>
      <c r="N68" s="13" t="s">
        <v>23</v>
      </c>
      <c r="O68" s="13">
        <v>9.0</v>
      </c>
      <c r="P68" s="10" t="s">
        <v>23</v>
      </c>
      <c r="Q68" s="10" t="s">
        <v>23</v>
      </c>
      <c r="R68" s="10"/>
      <c r="S68" s="10" t="s">
        <v>23</v>
      </c>
      <c r="T68" s="10"/>
      <c r="U68" s="10" t="s">
        <v>23</v>
      </c>
    </row>
    <row r="69">
      <c r="A69" s="15" t="str">
        <f>HYPERLINK("https://docs.google.com/spreadsheets/d/1t379i2CYDM1ZVdZZy_Nj2m3ht6Sp4J68-xZ2v4-PIMo/edit?usp=sharing","Cydney Gillon")</f>
        <v>Cydney Gillon</v>
      </c>
      <c r="B69" s="13">
        <v>32.0</v>
      </c>
      <c r="C69" s="13">
        <v>37.0</v>
      </c>
      <c r="D69" s="13">
        <v>14.0</v>
      </c>
      <c r="E69" s="16">
        <v>2.64</v>
      </c>
      <c r="F69" s="17">
        <v>0.0749</v>
      </c>
      <c r="G69" s="13">
        <v>37.0</v>
      </c>
      <c r="H69" s="13">
        <v>1.0</v>
      </c>
      <c r="I69" s="13" t="s">
        <v>9</v>
      </c>
      <c r="J69" s="13" t="s">
        <v>40</v>
      </c>
      <c r="K69" s="13" t="s">
        <v>41</v>
      </c>
      <c r="L69" s="13">
        <v>5.0</v>
      </c>
      <c r="M69" s="13">
        <v>3.0</v>
      </c>
      <c r="N69" s="13">
        <v>1.0</v>
      </c>
      <c r="O69" s="13">
        <v>9.0</v>
      </c>
      <c r="P69" s="13" t="s">
        <v>23</v>
      </c>
      <c r="Q69" s="13" t="s">
        <v>23</v>
      </c>
      <c r="R69" s="13"/>
      <c r="S69" s="13" t="s">
        <v>23</v>
      </c>
      <c r="T69" s="13"/>
      <c r="U69" s="13" t="s">
        <v>23</v>
      </c>
    </row>
    <row r="70">
      <c r="A70" s="18" t="s">
        <v>80</v>
      </c>
      <c r="B70" s="13">
        <v>40.0</v>
      </c>
      <c r="C70" s="13">
        <v>37.0</v>
      </c>
      <c r="D70" s="13">
        <v>15.0</v>
      </c>
      <c r="E70" s="16">
        <v>2.47</v>
      </c>
      <c r="F70" s="17">
        <v>0.0646</v>
      </c>
      <c r="G70" s="13" t="s">
        <v>81</v>
      </c>
      <c r="H70" s="13">
        <v>4.0</v>
      </c>
      <c r="I70" s="13" t="s">
        <v>9</v>
      </c>
      <c r="J70" s="13" t="s">
        <v>40</v>
      </c>
      <c r="K70" s="13" t="s">
        <v>82</v>
      </c>
      <c r="L70" s="13">
        <v>2.0</v>
      </c>
      <c r="M70" s="13">
        <v>4.0</v>
      </c>
      <c r="N70" s="13" t="s">
        <v>23</v>
      </c>
      <c r="O70" s="13">
        <v>6.0</v>
      </c>
      <c r="P70" s="13" t="s">
        <v>23</v>
      </c>
      <c r="Q70" s="13" t="s">
        <v>23</v>
      </c>
      <c r="R70" s="13">
        <v>1.0</v>
      </c>
      <c r="S70" s="13">
        <v>1.0</v>
      </c>
      <c r="T70" s="24"/>
      <c r="U70" s="13" t="s">
        <v>23</v>
      </c>
    </row>
    <row r="71">
      <c r="A71" s="15" t="str">
        <f>HYPERLINK("https://docs.google.com/spreadsheets/d/1t379i2CYDM1ZVdZZy_Nj2m3ht6Sp4J68-xZ2v4-PIMo/edit?usp=sharing","Scot Pollard")</f>
        <v>Scot Pollard</v>
      </c>
      <c r="B71" s="13">
        <v>32.0</v>
      </c>
      <c r="C71" s="13">
        <v>36.0</v>
      </c>
      <c r="D71" s="13">
        <v>10.0</v>
      </c>
      <c r="E71" s="16">
        <v>3.6</v>
      </c>
      <c r="F71" s="17">
        <v>0.0729</v>
      </c>
      <c r="G71" s="13">
        <v>27.0</v>
      </c>
      <c r="H71" s="13">
        <v>1.0</v>
      </c>
      <c r="I71" s="13" t="s">
        <v>9</v>
      </c>
      <c r="J71" s="13" t="s">
        <v>58</v>
      </c>
      <c r="K71" s="13" t="s">
        <v>47</v>
      </c>
      <c r="L71" s="13">
        <v>5.0</v>
      </c>
      <c r="M71" s="13">
        <v>1.0</v>
      </c>
      <c r="N71" s="13" t="s">
        <v>23</v>
      </c>
      <c r="O71" s="13">
        <v>8.0</v>
      </c>
      <c r="P71" s="13" t="s">
        <v>23</v>
      </c>
      <c r="Q71" s="13" t="s">
        <v>23</v>
      </c>
      <c r="R71" s="13"/>
      <c r="S71" s="13">
        <v>1.0</v>
      </c>
      <c r="T71" s="13"/>
      <c r="U71" s="13" t="s">
        <v>23</v>
      </c>
    </row>
    <row r="72">
      <c r="A72" s="9" t="str">
        <f>HYPERLINK("https://docs.google.com/spreadsheets/d/1iNFGyKFcJm-tPp7Dg94yi7mHCDbJssmAD_PiaDM_tAE/edit?usp=sharing","Josh Canfield")</f>
        <v>Josh Canfield</v>
      </c>
      <c r="B72" s="10">
        <v>29.0</v>
      </c>
      <c r="C72" s="10">
        <v>36.0</v>
      </c>
      <c r="D72" s="10">
        <v>8.0</v>
      </c>
      <c r="E72" s="11">
        <v>4.5</v>
      </c>
      <c r="F72" s="12">
        <v>0.0809</v>
      </c>
      <c r="G72" s="10">
        <v>21.0</v>
      </c>
      <c r="H72" s="10">
        <v>1.0</v>
      </c>
      <c r="I72" s="10" t="s">
        <v>9</v>
      </c>
      <c r="J72" s="10" t="s">
        <v>84</v>
      </c>
      <c r="K72" s="10" t="s">
        <v>85</v>
      </c>
      <c r="L72" s="23">
        <v>2.0</v>
      </c>
      <c r="M72" s="23">
        <v>3.0</v>
      </c>
      <c r="N72" s="23" t="s">
        <v>23</v>
      </c>
      <c r="O72" s="23">
        <v>4.0</v>
      </c>
      <c r="P72" s="23">
        <v>1.0</v>
      </c>
      <c r="Q72" s="23" t="s">
        <v>23</v>
      </c>
      <c r="R72" s="23"/>
      <c r="S72" s="13" t="s">
        <v>23</v>
      </c>
      <c r="T72" s="13"/>
      <c r="U72" s="10" t="s">
        <v>23</v>
      </c>
    </row>
    <row r="73">
      <c r="A73" s="9" t="str">
        <f>HYPERLINK("https://docs.google.com/spreadsheets/d/1HA0vQC0CSnQtVc8u58vwNd3sIFCc79SKVqM1abMG1hI/edit?usp=sharing","Jenn Brown")</f>
        <v>Jenn Brown</v>
      </c>
      <c r="B73" s="10">
        <v>30.0</v>
      </c>
      <c r="C73" s="10">
        <v>36.0</v>
      </c>
      <c r="D73" s="10">
        <v>10.0</v>
      </c>
      <c r="E73" s="11">
        <v>3.6</v>
      </c>
      <c r="F73" s="12">
        <v>0.0788</v>
      </c>
      <c r="G73" s="10">
        <v>27.0</v>
      </c>
      <c r="H73" s="10" t="s">
        <v>23</v>
      </c>
      <c r="I73" s="10" t="s">
        <v>9</v>
      </c>
      <c r="J73" s="10" t="s">
        <v>43</v>
      </c>
      <c r="K73" s="10" t="s">
        <v>83</v>
      </c>
      <c r="L73" s="13">
        <v>5.0</v>
      </c>
      <c r="M73" s="13">
        <v>3.0</v>
      </c>
      <c r="N73" s="13" t="s">
        <v>23</v>
      </c>
      <c r="O73" s="13">
        <v>7.0</v>
      </c>
      <c r="P73" s="10" t="s">
        <v>23</v>
      </c>
      <c r="Q73" s="10" t="s">
        <v>23</v>
      </c>
      <c r="R73" s="10"/>
      <c r="S73" s="10">
        <v>1.0</v>
      </c>
      <c r="T73" s="10"/>
      <c r="U73" s="10" t="s">
        <v>23</v>
      </c>
    </row>
    <row r="74">
      <c r="A74" s="15" t="str">
        <f>HYPERLINK("https://docs.google.com/spreadsheets/d/1sWOJC8eB6rVdXdWiWMgfbfgw2325jIh1ODKxyaCmSGc/edit?usp=sharing","Cindy Hall")</f>
        <v>Cindy Hall</v>
      </c>
      <c r="B74" s="13">
        <v>11.0</v>
      </c>
      <c r="C74" s="13">
        <v>36.0</v>
      </c>
      <c r="D74" s="13">
        <v>13.0</v>
      </c>
      <c r="E74" s="16">
        <v>2.77</v>
      </c>
      <c r="F74" s="17">
        <v>0.0816</v>
      </c>
      <c r="G74" s="13">
        <v>36.0</v>
      </c>
      <c r="H74" s="13">
        <v>2.0</v>
      </c>
      <c r="I74" s="13" t="s">
        <v>9</v>
      </c>
      <c r="J74" s="13" t="s">
        <v>46</v>
      </c>
      <c r="K74" s="13" t="s">
        <v>70</v>
      </c>
      <c r="L74" s="13">
        <v>8.0</v>
      </c>
      <c r="M74" s="13">
        <v>4.0</v>
      </c>
      <c r="N74" s="13" t="s">
        <v>23</v>
      </c>
      <c r="O74" s="13">
        <v>9.0</v>
      </c>
      <c r="P74" s="13" t="s">
        <v>23</v>
      </c>
      <c r="Q74" s="13" t="s">
        <v>23</v>
      </c>
      <c r="R74" s="13"/>
      <c r="S74" s="13" t="s">
        <v>23</v>
      </c>
      <c r="T74" s="13" t="s">
        <v>23</v>
      </c>
      <c r="U74" s="13" t="s">
        <v>23</v>
      </c>
    </row>
    <row r="75">
      <c r="A75" s="9" t="str">
        <f>HYPERLINK("https://docs.google.com/spreadsheets/d/1iNFGyKFcJm-tPp7Dg94yi7mHCDbJssmAD_PiaDM_tAE/edit?usp=sharing","Baylor Wilson")</f>
        <v>Baylor Wilson</v>
      </c>
      <c r="B75" s="10">
        <v>29.0</v>
      </c>
      <c r="C75" s="10">
        <v>36.0</v>
      </c>
      <c r="D75" s="10">
        <v>14.0</v>
      </c>
      <c r="E75" s="11">
        <v>2.57</v>
      </c>
      <c r="F75" s="12">
        <v>0.0809</v>
      </c>
      <c r="G75" s="10">
        <v>37.0</v>
      </c>
      <c r="H75" s="10">
        <v>1.0</v>
      </c>
      <c r="I75" s="10" t="s">
        <v>9</v>
      </c>
      <c r="J75" s="10" t="s">
        <v>24</v>
      </c>
      <c r="K75" s="10" t="s">
        <v>70</v>
      </c>
      <c r="L75" s="23">
        <v>5.0</v>
      </c>
      <c r="M75" s="23">
        <v>1.0</v>
      </c>
      <c r="N75" s="23">
        <v>1.0</v>
      </c>
      <c r="O75" s="23">
        <v>12.0</v>
      </c>
      <c r="P75" s="23">
        <v>1.0</v>
      </c>
      <c r="Q75" s="23" t="s">
        <v>23</v>
      </c>
      <c r="R75" s="23"/>
      <c r="S75" s="13" t="s">
        <v>23</v>
      </c>
      <c r="T75" s="13"/>
      <c r="U75" s="10" t="s">
        <v>23</v>
      </c>
    </row>
    <row r="76">
      <c r="A76" s="9" t="str">
        <f>HYPERLINK("https://docs.google.com/spreadsheets/d/1X-5lK1sJCBpvE08rC1VdSsGvayqyrC62cK7W45Q4XX8/edit?usp=sharing","Vytas Baskauskas")</f>
        <v>Vytas Baskauskas</v>
      </c>
      <c r="B76" s="10">
        <v>27.0</v>
      </c>
      <c r="C76" s="10">
        <v>35.0</v>
      </c>
      <c r="D76" s="10">
        <v>11.0</v>
      </c>
      <c r="E76" s="11">
        <v>3.18</v>
      </c>
      <c r="F76" s="12">
        <v>0.0808</v>
      </c>
      <c r="G76" s="10">
        <v>27.0</v>
      </c>
      <c r="H76" s="10">
        <v>3.0</v>
      </c>
      <c r="I76" s="10" t="s">
        <v>9</v>
      </c>
      <c r="J76" s="10" t="s">
        <v>48</v>
      </c>
      <c r="K76" s="10" t="s">
        <v>86</v>
      </c>
      <c r="L76" s="13">
        <v>2.0</v>
      </c>
      <c r="M76" s="13">
        <v>1.0</v>
      </c>
      <c r="N76" s="13">
        <v>1.0</v>
      </c>
      <c r="O76" s="13">
        <v>8.0</v>
      </c>
      <c r="P76" s="13" t="s">
        <v>23</v>
      </c>
      <c r="Q76" s="13">
        <v>1.0</v>
      </c>
      <c r="R76" s="13"/>
      <c r="S76" s="10" t="s">
        <v>23</v>
      </c>
      <c r="T76" s="10"/>
      <c r="U76" s="10" t="s">
        <v>23</v>
      </c>
    </row>
    <row r="77">
      <c r="A77" s="9" t="str">
        <f>HYPERLINK("https://docs.google.com/spreadsheets/d/1LR80O0PvsOvoTuN5gHQd3Rls4b1rZmJd7EZ_DR2oRHs/edit?usp=sharing","Malcolm Freberg")</f>
        <v>Malcolm Freberg</v>
      </c>
      <c r="B77" s="10">
        <v>26.0</v>
      </c>
      <c r="C77" s="10">
        <v>35.0</v>
      </c>
      <c r="D77" s="10">
        <v>11.0</v>
      </c>
      <c r="E77" s="11">
        <v>3.18</v>
      </c>
      <c r="F77" s="12">
        <v>0.0847</v>
      </c>
      <c r="G77" s="10">
        <v>30.0</v>
      </c>
      <c r="H77" s="10" t="s">
        <v>23</v>
      </c>
      <c r="I77" s="10" t="s">
        <v>9</v>
      </c>
      <c r="J77" s="10" t="s">
        <v>43</v>
      </c>
      <c r="K77" s="10" t="s">
        <v>63</v>
      </c>
      <c r="L77" s="13">
        <v>8.0</v>
      </c>
      <c r="M77" s="13">
        <v>5.0</v>
      </c>
      <c r="N77" s="13" t="s">
        <v>23</v>
      </c>
      <c r="O77" s="13">
        <v>6.0</v>
      </c>
      <c r="P77" s="10" t="s">
        <v>23</v>
      </c>
      <c r="Q77" s="10" t="s">
        <v>23</v>
      </c>
      <c r="R77" s="10"/>
      <c r="S77" s="10">
        <v>2.0</v>
      </c>
      <c r="T77" s="10"/>
      <c r="U77" s="10" t="s">
        <v>23</v>
      </c>
    </row>
    <row r="78">
      <c r="A78" s="9" t="str">
        <f>HYPERLINK("https://docs.google.com/spreadsheets/d/1EZNO7rY3X3GsqJDX9iY8RpZJJDJ-K4nm_Mxm1g397N0/edit?usp=sharing","Kim Powers")</f>
        <v>Kim Powers</v>
      </c>
      <c r="B78" s="10">
        <v>3.0</v>
      </c>
      <c r="C78" s="10">
        <v>35.0</v>
      </c>
      <c r="D78" s="10">
        <v>11.0</v>
      </c>
      <c r="E78" s="11">
        <v>3.18</v>
      </c>
      <c r="F78" s="12">
        <v>0.07</v>
      </c>
      <c r="G78" s="10">
        <v>33.0</v>
      </c>
      <c r="H78" s="10">
        <v>1.0</v>
      </c>
      <c r="I78" s="10" t="s">
        <v>9</v>
      </c>
      <c r="J78" s="10" t="s">
        <v>58</v>
      </c>
      <c r="K78" s="10" t="s">
        <v>59</v>
      </c>
      <c r="L78" s="13">
        <v>6.0</v>
      </c>
      <c r="M78" s="13">
        <v>3.0</v>
      </c>
      <c r="N78" s="13" t="s">
        <v>23</v>
      </c>
      <c r="O78" s="13">
        <v>8.0</v>
      </c>
      <c r="P78" s="10" t="s">
        <v>23</v>
      </c>
      <c r="Q78" s="10" t="s">
        <v>23</v>
      </c>
      <c r="R78" s="10"/>
      <c r="S78" s="10" t="s">
        <v>23</v>
      </c>
      <c r="T78" s="10"/>
      <c r="U78" s="10" t="s">
        <v>23</v>
      </c>
    </row>
    <row r="79">
      <c r="A79" s="19" t="str">
        <f>HYPERLINK("https://docs.google.com/spreadsheets/d/1TniiK35-AGMNddj9lkge_tT9QfOGXMfX2thnTv8npTo/edit?usp=sharing","Jan Gentry")</f>
        <v>Jan Gentry</v>
      </c>
      <c r="B79" s="20">
        <v>5.0</v>
      </c>
      <c r="C79" s="21">
        <v>35.0</v>
      </c>
      <c r="D79" s="20">
        <v>13.0</v>
      </c>
      <c r="E79" s="22">
        <v>2.69</v>
      </c>
      <c r="F79" s="14">
        <v>0.0725</v>
      </c>
      <c r="G79" s="21">
        <v>38.0</v>
      </c>
      <c r="H79" s="21">
        <v>1.0</v>
      </c>
      <c r="I79" s="10" t="s">
        <v>9</v>
      </c>
      <c r="J79" s="21" t="s">
        <v>24</v>
      </c>
      <c r="K79" s="20" t="s">
        <v>25</v>
      </c>
      <c r="L79" s="13">
        <v>3.0</v>
      </c>
      <c r="M79" s="13">
        <v>5.0</v>
      </c>
      <c r="N79" s="13" t="s">
        <v>23</v>
      </c>
      <c r="O79" s="13">
        <v>9.0</v>
      </c>
      <c r="P79" s="10" t="s">
        <v>23</v>
      </c>
      <c r="Q79" s="10" t="s">
        <v>23</v>
      </c>
      <c r="R79" s="10"/>
      <c r="S79" s="10" t="s">
        <v>23</v>
      </c>
      <c r="T79" s="10"/>
      <c r="U79" s="10" t="s">
        <v>23</v>
      </c>
    </row>
    <row r="80">
      <c r="A80" s="9" t="str">
        <f>HYPERLINK("https://docs.google.com/spreadsheets/d/1X-5lK1sJCBpvE08rC1VdSsGvayqyrC62cK7W45Q4XX8/edit?usp=sharing","Hayden Moss")</f>
        <v>Hayden Moss</v>
      </c>
      <c r="B80" s="10">
        <v>27.0</v>
      </c>
      <c r="C80" s="10">
        <v>35.0</v>
      </c>
      <c r="D80" s="10">
        <v>14.0</v>
      </c>
      <c r="E80" s="11">
        <v>2.5</v>
      </c>
      <c r="F80" s="12">
        <v>0.0808</v>
      </c>
      <c r="G80" s="10">
        <v>36.0</v>
      </c>
      <c r="H80" s="10" t="s">
        <v>23</v>
      </c>
      <c r="I80" s="10" t="s">
        <v>9</v>
      </c>
      <c r="J80" s="10" t="s">
        <v>46</v>
      </c>
      <c r="K80" s="10" t="s">
        <v>44</v>
      </c>
      <c r="L80" s="13">
        <v>6.0</v>
      </c>
      <c r="M80" s="13">
        <v>3.0</v>
      </c>
      <c r="N80" s="13" t="s">
        <v>23</v>
      </c>
      <c r="O80" s="13">
        <v>11.0</v>
      </c>
      <c r="P80" s="13" t="s">
        <v>23</v>
      </c>
      <c r="Q80" s="13">
        <v>1.0</v>
      </c>
      <c r="R80" s="13"/>
      <c r="S80" s="10" t="s">
        <v>23</v>
      </c>
      <c r="T80" s="10"/>
      <c r="U80" s="10" t="s">
        <v>23</v>
      </c>
    </row>
    <row r="81">
      <c r="A81" s="9" t="str">
        <f>HYPERLINK("https://docs.google.com/spreadsheets/d/14eN4V4imd53x81UQVckjyAx_2xIFGXJ8NE4XmE1oDkg/edit?usp=sharing","Greg Buis")</f>
        <v>Greg Buis</v>
      </c>
      <c r="B81" s="10">
        <v>1.0</v>
      </c>
      <c r="C81" s="10">
        <v>35.0</v>
      </c>
      <c r="D81" s="10">
        <v>8.0</v>
      </c>
      <c r="E81" s="11">
        <v>4.38</v>
      </c>
      <c r="F81" s="14">
        <v>0.0533</v>
      </c>
      <c r="G81" s="10">
        <v>24.0</v>
      </c>
      <c r="H81" s="10">
        <v>1.0</v>
      </c>
      <c r="I81" s="10" t="s">
        <v>9</v>
      </c>
      <c r="J81" s="10" t="s">
        <v>84</v>
      </c>
      <c r="K81" s="10" t="s">
        <v>87</v>
      </c>
      <c r="L81" s="13">
        <v>5.0</v>
      </c>
      <c r="M81" s="13">
        <v>3.0</v>
      </c>
      <c r="N81" s="13">
        <v>1.0</v>
      </c>
      <c r="O81" s="13">
        <v>5.0</v>
      </c>
      <c r="P81" s="10" t="s">
        <v>23</v>
      </c>
      <c r="Q81" s="10" t="s">
        <v>23</v>
      </c>
      <c r="R81" s="10"/>
      <c r="S81" s="10" t="s">
        <v>23</v>
      </c>
      <c r="T81" s="10"/>
      <c r="U81" s="10" t="s">
        <v>23</v>
      </c>
    </row>
    <row r="82">
      <c r="A82" s="9" t="str">
        <f>HYPERLINK("https://docs.google.com/spreadsheets/d/18wmIvmUS3SeZNSPQeUzr6sPl9GBYpVSlOaFR_kJCmKo/edit?usp=sharing","Rodger Bingham")</f>
        <v>Rodger Bingham</v>
      </c>
      <c r="B82" s="10">
        <v>2.0</v>
      </c>
      <c r="C82" s="10">
        <v>34.0</v>
      </c>
      <c r="D82" s="10">
        <v>12.0</v>
      </c>
      <c r="E82" s="11">
        <v>2.83</v>
      </c>
      <c r="F82" s="12">
        <v>0.0606</v>
      </c>
      <c r="G82" s="10">
        <v>36.0</v>
      </c>
      <c r="H82" s="10">
        <v>1.0</v>
      </c>
      <c r="I82" s="10" t="s">
        <v>9</v>
      </c>
      <c r="J82" s="10" t="s">
        <v>46</v>
      </c>
      <c r="K82" s="10" t="s">
        <v>52</v>
      </c>
      <c r="L82" s="13">
        <v>4.0</v>
      </c>
      <c r="M82" s="13">
        <v>3.0</v>
      </c>
      <c r="N82" s="13" t="s">
        <v>23</v>
      </c>
      <c r="O82" s="13">
        <v>8.0</v>
      </c>
      <c r="P82" s="10" t="s">
        <v>23</v>
      </c>
      <c r="Q82" s="10" t="s">
        <v>23</v>
      </c>
      <c r="R82" s="10"/>
      <c r="S82" s="10" t="s">
        <v>23</v>
      </c>
      <c r="T82" s="10"/>
      <c r="U82" s="10" t="s">
        <v>23</v>
      </c>
    </row>
    <row r="83">
      <c r="A83" s="15" t="str">
        <f>HYPERLINK("https://docs.google.com/spreadsheets/d/1q-5bbq9txg93Y0eUACxRPTIN5PuRjeDVpNDfeXEw4iE/edit?usp=sharing","Lauren Rimmer")</f>
        <v>Lauren Rimmer</v>
      </c>
      <c r="B83" s="13">
        <v>35.0</v>
      </c>
      <c r="C83" s="13">
        <v>34.0</v>
      </c>
      <c r="D83" s="13">
        <v>12.0</v>
      </c>
      <c r="E83" s="16">
        <v>2.83</v>
      </c>
      <c r="F83" s="17">
        <v>0.0789</v>
      </c>
      <c r="G83" s="13">
        <v>33.0</v>
      </c>
      <c r="H83" s="13" t="s">
        <v>23</v>
      </c>
      <c r="I83" s="13" t="s">
        <v>9</v>
      </c>
      <c r="J83" s="13" t="s">
        <v>46</v>
      </c>
      <c r="K83" s="13" t="s">
        <v>66</v>
      </c>
      <c r="L83" s="13">
        <v>5.0</v>
      </c>
      <c r="M83" s="13">
        <v>4.0</v>
      </c>
      <c r="N83" s="13">
        <v>1.0</v>
      </c>
      <c r="O83" s="13">
        <v>8.0</v>
      </c>
      <c r="P83" s="13" t="s">
        <v>23</v>
      </c>
      <c r="Q83" s="13" t="s">
        <v>23</v>
      </c>
      <c r="R83" s="13"/>
      <c r="S83" s="13">
        <v>1.0</v>
      </c>
      <c r="T83" s="13">
        <v>1.0</v>
      </c>
      <c r="U83" s="13" t="s">
        <v>23</v>
      </c>
    </row>
    <row r="84">
      <c r="A84" s="9" t="str">
        <f>HYPERLINK("https://docs.google.com/spreadsheets/d/1HA0vQC0CSnQtVc8u58vwNd3sIFCc79SKVqM1abMG1hI/edit?usp=sharing","Shirin Oskooi")</f>
        <v>Shirin Oskooi</v>
      </c>
      <c r="B84" s="10">
        <v>30.0</v>
      </c>
      <c r="C84" s="10">
        <v>33.0</v>
      </c>
      <c r="D84" s="10">
        <v>11.0</v>
      </c>
      <c r="E84" s="11">
        <v>3.0</v>
      </c>
      <c r="F84" s="12">
        <v>0.0722</v>
      </c>
      <c r="G84" s="10">
        <v>29.0</v>
      </c>
      <c r="H84" s="10" t="s">
        <v>23</v>
      </c>
      <c r="I84" s="10" t="s">
        <v>9</v>
      </c>
      <c r="J84" s="10" t="s">
        <v>58</v>
      </c>
      <c r="K84" s="10" t="s">
        <v>47</v>
      </c>
      <c r="L84" s="13">
        <v>8.0</v>
      </c>
      <c r="M84" s="13">
        <v>4.0</v>
      </c>
      <c r="N84" s="13" t="s">
        <v>23</v>
      </c>
      <c r="O84" s="13">
        <v>7.0</v>
      </c>
      <c r="P84" s="10" t="s">
        <v>23</v>
      </c>
      <c r="Q84" s="10" t="s">
        <v>23</v>
      </c>
      <c r="R84" s="10"/>
      <c r="S84" s="10" t="s">
        <v>23</v>
      </c>
      <c r="T84" s="10"/>
      <c r="U84" s="10" t="s">
        <v>23</v>
      </c>
    </row>
    <row r="85">
      <c r="A85" s="9" t="str">
        <f>HYPERLINK("https://docs.google.com/spreadsheets/d/1LR80O0PvsOvoTuN5gHQd3Rls4b1rZmJd7EZ_DR2oRHs/edit?usp=sharing","Phillip Sheppard")</f>
        <v>Phillip Sheppard</v>
      </c>
      <c r="B85" s="10">
        <v>26.0</v>
      </c>
      <c r="C85" s="10">
        <v>33.0</v>
      </c>
      <c r="D85" s="10">
        <v>10.0</v>
      </c>
      <c r="E85" s="11">
        <v>3.3</v>
      </c>
      <c r="F85" s="12">
        <v>0.0799</v>
      </c>
      <c r="G85" s="10">
        <v>28.0</v>
      </c>
      <c r="H85" s="10" t="s">
        <v>23</v>
      </c>
      <c r="I85" s="10" t="s">
        <v>9</v>
      </c>
      <c r="J85" s="10" t="s">
        <v>48</v>
      </c>
      <c r="K85" s="10" t="s">
        <v>86</v>
      </c>
      <c r="L85" s="13">
        <v>8.0</v>
      </c>
      <c r="M85" s="13">
        <v>3.0</v>
      </c>
      <c r="N85" s="13" t="s">
        <v>23</v>
      </c>
      <c r="O85" s="13">
        <v>7.0</v>
      </c>
      <c r="P85" s="10" t="s">
        <v>23</v>
      </c>
      <c r="Q85" s="10" t="s">
        <v>23</v>
      </c>
      <c r="R85" s="10"/>
      <c r="S85" s="10" t="s">
        <v>23</v>
      </c>
      <c r="T85" s="10"/>
      <c r="U85" s="10" t="s">
        <v>23</v>
      </c>
    </row>
    <row r="86">
      <c r="A86" s="9" t="str">
        <f>HYPERLINK("https://docs.google.com/spreadsheets/d/1hg_GT4r2smQsgkwEYBqHOukVavnNSyncsyfceWDpOho/edit?usp=sharing","Kathy Vavrick-O'Brien")</f>
        <v>Kathy Vavrick-O'Brien</v>
      </c>
      <c r="B86" s="10">
        <v>8.0</v>
      </c>
      <c r="C86" s="10">
        <v>33.0</v>
      </c>
      <c r="D86" s="10">
        <v>11.0</v>
      </c>
      <c r="E86" s="11">
        <v>3.0</v>
      </c>
      <c r="F86" s="12">
        <v>0.0651</v>
      </c>
      <c r="G86" s="10">
        <v>28.0</v>
      </c>
      <c r="H86" s="10" t="s">
        <v>23</v>
      </c>
      <c r="I86" s="10" t="s">
        <v>9</v>
      </c>
      <c r="J86" s="10" t="s">
        <v>48</v>
      </c>
      <c r="K86" s="10" t="s">
        <v>47</v>
      </c>
      <c r="L86" s="13">
        <v>7.0</v>
      </c>
      <c r="M86" s="13">
        <v>3.0</v>
      </c>
      <c r="N86" s="13">
        <v>1.0</v>
      </c>
      <c r="O86" s="13">
        <v>6.0</v>
      </c>
      <c r="P86" s="10" t="s">
        <v>23</v>
      </c>
      <c r="Q86" s="10" t="s">
        <v>23</v>
      </c>
      <c r="R86" s="10"/>
      <c r="S86" s="10" t="s">
        <v>23</v>
      </c>
      <c r="T86" s="10"/>
      <c r="U86" s="10" t="s">
        <v>23</v>
      </c>
    </row>
    <row r="87">
      <c r="A87" s="9" t="str">
        <f>HYPERLINK("https://docs.google.com/spreadsheets/d/1nRsx7fR5xbH1eAbI_vBDvqXOgh7mXIwmZNhzrVL6oGM/edit?usp=sharing","John Carroll")</f>
        <v>John Carroll</v>
      </c>
      <c r="B87" s="10">
        <v>4.0</v>
      </c>
      <c r="C87" s="10">
        <v>33.0</v>
      </c>
      <c r="D87" s="10">
        <v>8.0</v>
      </c>
      <c r="E87" s="11">
        <v>4.13</v>
      </c>
      <c r="F87" s="12">
        <v>0.069</v>
      </c>
      <c r="G87" s="10">
        <v>24.0</v>
      </c>
      <c r="H87" s="10">
        <v>2.0</v>
      </c>
      <c r="I87" s="10" t="s">
        <v>9</v>
      </c>
      <c r="J87" s="10" t="s">
        <v>84</v>
      </c>
      <c r="K87" s="10" t="s">
        <v>87</v>
      </c>
      <c r="L87" s="13">
        <v>2.0</v>
      </c>
      <c r="M87" s="13">
        <v>5.0</v>
      </c>
      <c r="N87" s="13" t="s">
        <v>23</v>
      </c>
      <c r="O87" s="13">
        <v>3.0</v>
      </c>
      <c r="P87" s="10" t="s">
        <v>23</v>
      </c>
      <c r="Q87" s="10" t="s">
        <v>23</v>
      </c>
      <c r="R87" s="10"/>
      <c r="S87" s="10" t="s">
        <v>23</v>
      </c>
      <c r="T87" s="10"/>
      <c r="U87" s="10" t="s">
        <v>23</v>
      </c>
    </row>
    <row r="88">
      <c r="A88" s="9" t="str">
        <f>HYPERLINK("https://docs.google.com/spreadsheets/d/1nYlVL4RxK2ZUH-a4MfKCalHyEjDRWz2ZumhyoaYsjTE/edit?usp=sharing","Jane Bright")</f>
        <v>Jane Bright</v>
      </c>
      <c r="B88" s="10">
        <v>21.0</v>
      </c>
      <c r="C88" s="10">
        <v>33.0</v>
      </c>
      <c r="D88" s="10">
        <v>13.0</v>
      </c>
      <c r="E88" s="11">
        <v>2.54</v>
      </c>
      <c r="F88" s="12">
        <v>0.0793</v>
      </c>
      <c r="G88" s="10">
        <v>36.0</v>
      </c>
      <c r="H88" s="10">
        <v>1.0</v>
      </c>
      <c r="I88" s="10" t="s">
        <v>9</v>
      </c>
      <c r="J88" s="10" t="s">
        <v>24</v>
      </c>
      <c r="K88" s="10" t="s">
        <v>65</v>
      </c>
      <c r="L88" s="13">
        <v>5.0</v>
      </c>
      <c r="M88" s="13">
        <v>2.0</v>
      </c>
      <c r="N88" s="13">
        <v>2.0</v>
      </c>
      <c r="O88" s="13">
        <v>10.0</v>
      </c>
      <c r="P88" s="10" t="s">
        <v>23</v>
      </c>
      <c r="Q88" s="10" t="s">
        <v>23</v>
      </c>
      <c r="R88" s="10"/>
      <c r="S88" s="10" t="s">
        <v>23</v>
      </c>
      <c r="T88" s="10"/>
      <c r="U88" s="10" t="s">
        <v>23</v>
      </c>
    </row>
    <row r="89">
      <c r="A89" s="9" t="str">
        <f>HYPERLINK("https://docs.google.com/spreadsheets/d/1w0I5RoQ7uENhUG1ncC5V9B3b6BQapplx180-f9F9s4w/edit?usp=sharing","Dave Johnson")</f>
        <v>Dave Johnson</v>
      </c>
      <c r="B89" s="10">
        <v>6.0</v>
      </c>
      <c r="C89" s="10">
        <v>33.0</v>
      </c>
      <c r="D89" s="10">
        <v>8.0</v>
      </c>
      <c r="E89" s="11">
        <v>4.13</v>
      </c>
      <c r="F89" s="12">
        <v>0.0679</v>
      </c>
      <c r="G89" s="10">
        <v>24.0</v>
      </c>
      <c r="H89" s="10" t="s">
        <v>23</v>
      </c>
      <c r="I89" s="10" t="s">
        <v>9</v>
      </c>
      <c r="J89" s="10" t="s">
        <v>84</v>
      </c>
      <c r="K89" s="10" t="s">
        <v>87</v>
      </c>
      <c r="L89" s="13">
        <v>5.0</v>
      </c>
      <c r="M89" s="13">
        <v>3.0</v>
      </c>
      <c r="N89" s="13" t="s">
        <v>23</v>
      </c>
      <c r="O89" s="13">
        <v>5.0</v>
      </c>
      <c r="P89" s="10" t="s">
        <v>23</v>
      </c>
      <c r="Q89" s="10" t="s">
        <v>23</v>
      </c>
      <c r="R89" s="10"/>
      <c r="S89" s="10" t="s">
        <v>23</v>
      </c>
      <c r="T89" s="10"/>
      <c r="U89" s="10" t="s">
        <v>23</v>
      </c>
    </row>
    <row r="90">
      <c r="A90" s="15" t="str">
        <f>HYPERLINK("https://docs.google.com/spreadsheets/d/1q-5bbq9txg93Y0eUACxRPTIN5PuRjeDVpNDfeXEw4iE/edit?usp=sharing","Mike Zahalsky")</f>
        <v>Mike Zahalsky</v>
      </c>
      <c r="B90" s="13">
        <v>35.0</v>
      </c>
      <c r="C90" s="13">
        <v>33.0</v>
      </c>
      <c r="D90" s="13">
        <v>14.0</v>
      </c>
      <c r="E90" s="16">
        <v>2.36</v>
      </c>
      <c r="F90" s="17">
        <v>0.0766</v>
      </c>
      <c r="G90" s="13">
        <v>37.0</v>
      </c>
      <c r="H90" s="13">
        <v>2.0</v>
      </c>
      <c r="I90" s="13" t="s">
        <v>9</v>
      </c>
      <c r="J90" s="13" t="s">
        <v>24</v>
      </c>
      <c r="K90" s="13" t="s">
        <v>70</v>
      </c>
      <c r="L90" s="13">
        <v>10.0</v>
      </c>
      <c r="M90" s="13">
        <v>6.0</v>
      </c>
      <c r="N90" s="13" t="s">
        <v>23</v>
      </c>
      <c r="O90" s="13">
        <v>8.0</v>
      </c>
      <c r="P90" s="13" t="s">
        <v>23</v>
      </c>
      <c r="Q90" s="13" t="s">
        <v>23</v>
      </c>
      <c r="R90" s="13"/>
      <c r="S90" s="13">
        <v>1.0</v>
      </c>
      <c r="T90" s="13" t="s">
        <v>23</v>
      </c>
      <c r="U90" s="13" t="s">
        <v>23</v>
      </c>
    </row>
    <row r="91">
      <c r="A91" s="15" t="str">
        <f>HYPERLINK("https://docs.google.com/spreadsheets/d/1Hf_PbZTXAuooCoiF7c3Bz80t5-zCjdWHF8wQ_HyodNs/edit?usp=sharing","Donathan Hurley")</f>
        <v>Donathan Hurley</v>
      </c>
      <c r="B91" s="13">
        <v>36.0</v>
      </c>
      <c r="C91" s="13">
        <v>33.0</v>
      </c>
      <c r="D91" s="13">
        <v>14.0</v>
      </c>
      <c r="E91" s="16">
        <v>2.36</v>
      </c>
      <c r="F91" s="17">
        <v>0.084</v>
      </c>
      <c r="G91" s="13">
        <v>37.0</v>
      </c>
      <c r="H91" s="13">
        <v>2.0</v>
      </c>
      <c r="I91" s="13" t="s">
        <v>9</v>
      </c>
      <c r="J91" s="13" t="s">
        <v>45</v>
      </c>
      <c r="K91" s="13" t="s">
        <v>67</v>
      </c>
      <c r="L91" s="13">
        <v>7.0</v>
      </c>
      <c r="M91" s="13">
        <v>3.0</v>
      </c>
      <c r="N91" s="13" t="s">
        <v>23</v>
      </c>
      <c r="O91" s="13">
        <v>11.0</v>
      </c>
      <c r="P91" s="13">
        <v>1.0</v>
      </c>
      <c r="Q91" s="13" t="s">
        <v>23</v>
      </c>
      <c r="R91" s="13"/>
      <c r="S91" s="13">
        <v>1.0</v>
      </c>
      <c r="T91" s="13" t="s">
        <v>23</v>
      </c>
      <c r="U91" s="13" t="s">
        <v>23</v>
      </c>
    </row>
    <row r="92">
      <c r="A92" s="18" t="s">
        <v>88</v>
      </c>
      <c r="B92" s="13">
        <v>40.0</v>
      </c>
      <c r="C92" s="13">
        <v>33.0</v>
      </c>
      <c r="D92" s="13">
        <v>15.0</v>
      </c>
      <c r="E92" s="16">
        <v>2.2</v>
      </c>
      <c r="F92" s="17">
        <v>0.0576</v>
      </c>
      <c r="G92" s="13" t="s">
        <v>89</v>
      </c>
      <c r="H92" s="13">
        <v>1.0</v>
      </c>
      <c r="I92" s="13" t="s">
        <v>9</v>
      </c>
      <c r="J92" s="13" t="s">
        <v>90</v>
      </c>
      <c r="K92" s="13" t="s">
        <v>71</v>
      </c>
      <c r="L92" s="13">
        <v>2.0</v>
      </c>
      <c r="M92" s="13">
        <v>4.0</v>
      </c>
      <c r="N92" s="13">
        <v>1.0</v>
      </c>
      <c r="O92" s="13">
        <v>10.0</v>
      </c>
      <c r="P92" s="13" t="s">
        <v>23</v>
      </c>
      <c r="Q92" s="13" t="s">
        <v>23</v>
      </c>
      <c r="R92" s="13">
        <v>1.0</v>
      </c>
      <c r="S92" s="13" t="s">
        <v>23</v>
      </c>
      <c r="T92" s="13">
        <v>3.0</v>
      </c>
      <c r="U92" s="13" t="s">
        <v>23</v>
      </c>
    </row>
    <row r="93">
      <c r="A93" s="9" t="str">
        <f>HYPERLINK("https://docs.google.com/spreadsheets/d/1hg_GT4r2smQsgkwEYBqHOukVavnNSyncsyfceWDpOho/edit?usp=sharing","Tom Buchanan")</f>
        <v>Tom Buchanan</v>
      </c>
      <c r="B93" s="10">
        <v>8.0</v>
      </c>
      <c r="C93" s="10">
        <v>32.0</v>
      </c>
      <c r="D93" s="10">
        <v>14.0</v>
      </c>
      <c r="E93" s="11">
        <v>2.29</v>
      </c>
      <c r="F93" s="12">
        <v>0.0631</v>
      </c>
      <c r="G93" s="10">
        <v>36.0</v>
      </c>
      <c r="H93" s="10">
        <v>1.0</v>
      </c>
      <c r="I93" s="10" t="s">
        <v>9</v>
      </c>
      <c r="J93" s="10" t="s">
        <v>46</v>
      </c>
      <c r="K93" s="10" t="s">
        <v>70</v>
      </c>
      <c r="L93" s="13">
        <v>11.0</v>
      </c>
      <c r="M93" s="13">
        <v>5.0</v>
      </c>
      <c r="N93" s="13">
        <v>1.0</v>
      </c>
      <c r="O93" s="13">
        <v>6.0</v>
      </c>
      <c r="P93" s="10" t="s">
        <v>23</v>
      </c>
      <c r="Q93" s="10" t="s">
        <v>23</v>
      </c>
      <c r="R93" s="10"/>
      <c r="S93" s="10" t="s">
        <v>23</v>
      </c>
      <c r="T93" s="10"/>
      <c r="U93" s="10" t="s">
        <v>23</v>
      </c>
    </row>
    <row r="94">
      <c r="A94" s="9" t="str">
        <f>HYPERLINK("https://docs.google.com/spreadsheets/d/1CcEdjXKuhm6HmXecNbnscxpFab1HRQEjKSDga6QxqAU/edit?usp=sharing","Matthew Elrod")</f>
        <v>Matthew Elrod</v>
      </c>
      <c r="B94" s="10">
        <v>22.0</v>
      </c>
      <c r="C94" s="10">
        <v>32.0</v>
      </c>
      <c r="D94" s="10">
        <v>14.0</v>
      </c>
      <c r="E94" s="11">
        <v>2.29</v>
      </c>
      <c r="F94" s="12">
        <v>0.0755</v>
      </c>
      <c r="G94" s="10">
        <v>36.0</v>
      </c>
      <c r="H94" s="10">
        <v>1.0</v>
      </c>
      <c r="I94" s="10" t="s">
        <v>9</v>
      </c>
      <c r="J94" s="10" t="s">
        <v>37</v>
      </c>
      <c r="K94" s="10" t="s">
        <v>66</v>
      </c>
      <c r="L94" s="13">
        <v>1.0</v>
      </c>
      <c r="M94" s="13" t="s">
        <v>23</v>
      </c>
      <c r="N94" s="13" t="s">
        <v>23</v>
      </c>
      <c r="O94" s="13">
        <v>3.0</v>
      </c>
      <c r="P94" s="13" t="s">
        <v>23</v>
      </c>
      <c r="Q94" s="13">
        <v>2.0</v>
      </c>
      <c r="R94" s="13"/>
      <c r="S94" s="10" t="s">
        <v>23</v>
      </c>
      <c r="T94" s="10"/>
      <c r="U94" s="10" t="s">
        <v>23</v>
      </c>
    </row>
    <row r="95">
      <c r="A95" s="9" t="str">
        <f>HYPERLINK("https://docs.google.com/spreadsheets/d/1nYlVL4RxK2ZUH-a4MfKCalHyEjDRWz2ZumhyoaYsjTE/edit?usp=sharing","Holly Hoffman")</f>
        <v>Holly Hoffman</v>
      </c>
      <c r="B95" s="10">
        <v>21.0</v>
      </c>
      <c r="C95" s="10">
        <v>32.0</v>
      </c>
      <c r="D95" s="10">
        <v>14.0</v>
      </c>
      <c r="E95" s="11">
        <v>2.29</v>
      </c>
      <c r="F95" s="12">
        <v>0.0769</v>
      </c>
      <c r="G95" s="10">
        <v>38.0</v>
      </c>
      <c r="H95" s="10">
        <v>3.0</v>
      </c>
      <c r="I95" s="10" t="s">
        <v>9</v>
      </c>
      <c r="J95" s="10" t="s">
        <v>45</v>
      </c>
      <c r="K95" s="10" t="s">
        <v>55</v>
      </c>
      <c r="L95" s="13">
        <v>6.0</v>
      </c>
      <c r="M95" s="13">
        <v>2.0</v>
      </c>
      <c r="N95" s="13">
        <v>1.0</v>
      </c>
      <c r="O95" s="13">
        <v>12.0</v>
      </c>
      <c r="P95" s="10" t="s">
        <v>23</v>
      </c>
      <c r="Q95" s="10" t="s">
        <v>23</v>
      </c>
      <c r="R95" s="10"/>
      <c r="S95" s="10" t="s">
        <v>23</v>
      </c>
      <c r="T95" s="10"/>
      <c r="U95" s="10" t="s">
        <v>23</v>
      </c>
    </row>
    <row r="96">
      <c r="A96" s="15" t="str">
        <f>HYPERLINK("https://docs.google.com/spreadsheets/d/1tElnwN2HVf964gGw8Ei53RyfjarS40wkDY3zivAPWp0/edit?usp=sharing","Debbie Wanner")</f>
        <v>Debbie Wanner</v>
      </c>
      <c r="B96" s="13">
        <v>34.0</v>
      </c>
      <c r="C96" s="13">
        <v>32.0</v>
      </c>
      <c r="D96" s="13">
        <v>10.0</v>
      </c>
      <c r="E96" s="16">
        <v>3.2</v>
      </c>
      <c r="F96" s="17">
        <v>0.0777</v>
      </c>
      <c r="G96" s="13">
        <v>26.0</v>
      </c>
      <c r="H96" s="13" t="s">
        <v>23</v>
      </c>
      <c r="I96" s="13" t="s">
        <v>9</v>
      </c>
      <c r="J96" s="13" t="s">
        <v>43</v>
      </c>
      <c r="K96" s="13" t="s">
        <v>69</v>
      </c>
      <c r="L96" s="13">
        <v>7.0</v>
      </c>
      <c r="M96" s="13">
        <v>3.0</v>
      </c>
      <c r="N96" s="13" t="s">
        <v>23</v>
      </c>
      <c r="O96" s="13">
        <v>6.0</v>
      </c>
      <c r="P96" s="13">
        <v>1.0</v>
      </c>
      <c r="Q96" s="13" t="s">
        <v>23</v>
      </c>
      <c r="R96" s="13"/>
      <c r="S96" s="13" t="s">
        <v>23</v>
      </c>
      <c r="T96" s="13">
        <v>1.0</v>
      </c>
      <c r="U96" s="13" t="s">
        <v>23</v>
      </c>
    </row>
    <row r="97">
      <c r="A97" s="9" t="str">
        <f>HYPERLINK("https://docs.google.com/spreadsheets/d/1tPYt5CqjX32YXnh0BRsechvszEP2n4_ePabpiRTSzqE/edit?usp=sharing","Christa Hastie")</f>
        <v>Christa Hastie</v>
      </c>
      <c r="B97" s="10">
        <v>7.0</v>
      </c>
      <c r="C97" s="10">
        <v>32.0</v>
      </c>
      <c r="D97" s="10">
        <v>12.0</v>
      </c>
      <c r="E97" s="11">
        <v>2.67</v>
      </c>
      <c r="F97" s="12">
        <v>0.0639</v>
      </c>
      <c r="G97" s="10">
        <v>33.0</v>
      </c>
      <c r="H97" s="10">
        <v>4.0</v>
      </c>
      <c r="I97" s="10" t="s">
        <v>9</v>
      </c>
      <c r="J97" s="10" t="s">
        <v>58</v>
      </c>
      <c r="K97" s="10" t="s">
        <v>59</v>
      </c>
      <c r="L97" s="13">
        <v>4.0</v>
      </c>
      <c r="M97" s="13">
        <v>3.0</v>
      </c>
      <c r="N97" s="13" t="s">
        <v>23</v>
      </c>
      <c r="O97" s="13">
        <v>9.0</v>
      </c>
      <c r="P97" s="10" t="s">
        <v>23</v>
      </c>
      <c r="Q97" s="10" t="s">
        <v>23</v>
      </c>
      <c r="R97" s="10"/>
      <c r="S97" s="10" t="s">
        <v>23</v>
      </c>
      <c r="T97" s="10"/>
      <c r="U97" s="10" t="s">
        <v>23</v>
      </c>
    </row>
    <row r="98">
      <c r="A98" s="15" t="str">
        <f>HYPERLINK("https://docs.google.com/spreadsheets/d/1VEbyebFdBtPJKQC_U2uGrW6_v1fn6Hsoz3YYLyCxHR0/edit?usp=sharing","Austin Carty")</f>
        <v>Austin Carty</v>
      </c>
      <c r="B98" s="13">
        <v>12.0</v>
      </c>
      <c r="C98" s="13">
        <v>32.0</v>
      </c>
      <c r="D98" s="13">
        <v>8.0</v>
      </c>
      <c r="E98" s="16">
        <v>4.0</v>
      </c>
      <c r="F98" s="17">
        <v>0.072</v>
      </c>
      <c r="G98" s="13">
        <v>21.0</v>
      </c>
      <c r="H98" s="13" t="s">
        <v>23</v>
      </c>
      <c r="I98" s="13" t="s">
        <v>9</v>
      </c>
      <c r="J98" s="13" t="s">
        <v>84</v>
      </c>
      <c r="K98" s="13" t="s">
        <v>87</v>
      </c>
      <c r="L98" s="13">
        <v>4.0</v>
      </c>
      <c r="M98" s="13">
        <v>3.0</v>
      </c>
      <c r="N98" s="13" t="s">
        <v>23</v>
      </c>
      <c r="O98" s="13">
        <v>5.0</v>
      </c>
      <c r="P98" s="13">
        <v>1.0</v>
      </c>
      <c r="Q98" s="13" t="s">
        <v>23</v>
      </c>
      <c r="R98" s="13"/>
      <c r="S98" s="13" t="s">
        <v>23</v>
      </c>
      <c r="T98" s="13" t="s">
        <v>23</v>
      </c>
      <c r="U98" s="13" t="s">
        <v>23</v>
      </c>
    </row>
    <row r="99">
      <c r="A99" s="15" t="str">
        <f>HYPERLINK("https://docs.google.com/spreadsheets/d/1Hf_PbZTXAuooCoiF7c3Bz80t5-zCjdWHF8wQ_HyodNs/edit?usp=sharing","Michael Yerger")</f>
        <v>Michael Yerger</v>
      </c>
      <c r="B99" s="13">
        <v>36.0</v>
      </c>
      <c r="C99" s="13">
        <v>32.0</v>
      </c>
      <c r="D99" s="13">
        <v>11.0</v>
      </c>
      <c r="E99" s="16">
        <v>2.91</v>
      </c>
      <c r="F99" s="17">
        <v>0.0814</v>
      </c>
      <c r="G99" s="13">
        <v>29.0</v>
      </c>
      <c r="H99" s="13" t="s">
        <v>23</v>
      </c>
      <c r="I99" s="13" t="s">
        <v>9</v>
      </c>
      <c r="J99" s="13" t="s">
        <v>46</v>
      </c>
      <c r="K99" s="13" t="s">
        <v>63</v>
      </c>
      <c r="L99" s="13">
        <v>4.0</v>
      </c>
      <c r="M99" s="13">
        <v>2.0</v>
      </c>
      <c r="N99" s="13" t="s">
        <v>23</v>
      </c>
      <c r="O99" s="13">
        <v>9.0</v>
      </c>
      <c r="P99" s="13" t="s">
        <v>23</v>
      </c>
      <c r="Q99" s="13" t="s">
        <v>23</v>
      </c>
      <c r="R99" s="13"/>
      <c r="S99" s="13">
        <v>2.0</v>
      </c>
      <c r="T99" s="13" t="s">
        <v>23</v>
      </c>
      <c r="U99" s="13" t="s">
        <v>23</v>
      </c>
    </row>
    <row r="100">
      <c r="A100" s="9" t="str">
        <f>HYPERLINK("https://docs.google.com/spreadsheets/d/1nRsx7fR5xbH1eAbI_vBDvqXOgh7mXIwmZNhzrVL6oGM/edit?usp=sharing","Tammy Leitner")</f>
        <v>Tammy Leitner</v>
      </c>
      <c r="B100" s="10">
        <v>4.0</v>
      </c>
      <c r="C100" s="10">
        <v>31.0</v>
      </c>
      <c r="D100" s="10">
        <v>10.0</v>
      </c>
      <c r="E100" s="11">
        <v>3.1</v>
      </c>
      <c r="F100" s="12">
        <v>0.0649</v>
      </c>
      <c r="G100" s="10">
        <v>30.0</v>
      </c>
      <c r="H100" s="10" t="s">
        <v>23</v>
      </c>
      <c r="I100" s="10" t="s">
        <v>9</v>
      </c>
      <c r="J100" s="10" t="s">
        <v>43</v>
      </c>
      <c r="K100" s="10" t="s">
        <v>57</v>
      </c>
      <c r="L100" s="13">
        <v>2.0</v>
      </c>
      <c r="M100" s="13">
        <v>5.0</v>
      </c>
      <c r="N100" s="13">
        <v>2.0</v>
      </c>
      <c r="O100" s="13">
        <v>5.0</v>
      </c>
      <c r="P100" s="10" t="s">
        <v>23</v>
      </c>
      <c r="Q100" s="10" t="s">
        <v>23</v>
      </c>
      <c r="R100" s="10"/>
      <c r="S100" s="10" t="s">
        <v>23</v>
      </c>
      <c r="T100" s="10"/>
      <c r="U100" s="10" t="s">
        <v>23</v>
      </c>
    </row>
    <row r="101">
      <c r="A101" s="15" t="str">
        <f>HYPERLINK("https://docs.google.com/spreadsheets/d/1tElnwN2HVf964gGw8Ei53RyfjarS40wkDY3zivAPWp0/edit?usp=sharing","Tai Trang")</f>
        <v>Tai Trang</v>
      </c>
      <c r="B101" s="13">
        <v>34.0</v>
      </c>
      <c r="C101" s="13">
        <v>31.0</v>
      </c>
      <c r="D101" s="13">
        <v>14.0</v>
      </c>
      <c r="E101" s="16">
        <v>2.21</v>
      </c>
      <c r="F101" s="17">
        <v>0.0752</v>
      </c>
      <c r="G101" s="13">
        <v>38.0</v>
      </c>
      <c r="H101" s="13">
        <v>1.0</v>
      </c>
      <c r="I101" s="13" t="s">
        <v>9</v>
      </c>
      <c r="J101" s="13" t="s">
        <v>54</v>
      </c>
      <c r="K101" s="13" t="s">
        <v>55</v>
      </c>
      <c r="L101" s="13">
        <v>5.0</v>
      </c>
      <c r="M101" s="13">
        <v>3.0</v>
      </c>
      <c r="N101" s="13">
        <v>1.0</v>
      </c>
      <c r="O101" s="13">
        <v>14.0</v>
      </c>
      <c r="P101" s="13" t="s">
        <v>23</v>
      </c>
      <c r="Q101" s="13" t="s">
        <v>23</v>
      </c>
      <c r="R101" s="13"/>
      <c r="S101" s="13">
        <v>3.0</v>
      </c>
      <c r="T101" s="13" t="s">
        <v>23</v>
      </c>
      <c r="U101" s="13" t="s">
        <v>23</v>
      </c>
    </row>
    <row r="102">
      <c r="A102" s="9" t="str">
        <f>HYPERLINK("https://docs.google.com/spreadsheets/d/1hg_GT4r2smQsgkwEYBqHOukVavnNSyncsyfceWDpOho/edit?usp=sharing","Lex van den Berghe")</f>
        <v>Lex van den Berghe</v>
      </c>
      <c r="B102" s="10">
        <v>8.0</v>
      </c>
      <c r="C102" s="10">
        <v>31.0</v>
      </c>
      <c r="D102" s="10">
        <v>10.0</v>
      </c>
      <c r="E102" s="11">
        <v>3.1</v>
      </c>
      <c r="F102" s="12">
        <v>0.0611</v>
      </c>
      <c r="G102" s="10">
        <v>27.0</v>
      </c>
      <c r="H102" s="10">
        <v>1.0</v>
      </c>
      <c r="I102" s="10" t="s">
        <v>9</v>
      </c>
      <c r="J102" s="10" t="s">
        <v>84</v>
      </c>
      <c r="K102" s="10" t="s">
        <v>83</v>
      </c>
      <c r="L102" s="13">
        <v>5.0</v>
      </c>
      <c r="M102" s="13">
        <v>3.0</v>
      </c>
      <c r="N102" s="13" t="s">
        <v>23</v>
      </c>
      <c r="O102" s="13">
        <v>5.0</v>
      </c>
      <c r="P102" s="10" t="s">
        <v>23</v>
      </c>
      <c r="Q102" s="10" t="s">
        <v>23</v>
      </c>
      <c r="R102" s="10"/>
      <c r="S102" s="10" t="s">
        <v>23</v>
      </c>
      <c r="T102" s="10"/>
      <c r="U102" s="10" t="s">
        <v>23</v>
      </c>
    </row>
    <row r="103">
      <c r="A103" s="15" t="str">
        <f>HYPERLINK("https://docs.google.com/spreadsheets/d/1yi_HtvN4TS5uRWCCFJg5RFaoouiIIe8CAtY_XnqP6iM/edit?usp=sharing","Lea ""Sarge"" Masters")</f>
        <v>Lea "Sarge" Masters</v>
      </c>
      <c r="B103" s="13">
        <v>9.0</v>
      </c>
      <c r="C103" s="13">
        <v>31.0</v>
      </c>
      <c r="D103" s="13">
        <v>9.0</v>
      </c>
      <c r="E103" s="16">
        <v>3.44</v>
      </c>
      <c r="F103" s="17">
        <v>0.074</v>
      </c>
      <c r="G103" s="13">
        <v>24.0</v>
      </c>
      <c r="H103" s="13">
        <v>1.0</v>
      </c>
      <c r="I103" s="13" t="s">
        <v>9</v>
      </c>
      <c r="J103" s="13" t="s">
        <v>84</v>
      </c>
      <c r="K103" s="13" t="s">
        <v>83</v>
      </c>
      <c r="L103" s="13">
        <v>4.0</v>
      </c>
      <c r="M103" s="13">
        <v>3.0</v>
      </c>
      <c r="N103" s="13">
        <v>1.0</v>
      </c>
      <c r="O103" s="13">
        <v>6.0</v>
      </c>
      <c r="P103" s="10" t="s">
        <v>23</v>
      </c>
      <c r="Q103" s="10" t="s">
        <v>23</v>
      </c>
      <c r="R103" s="10"/>
      <c r="S103" s="10" t="s">
        <v>23</v>
      </c>
      <c r="T103" s="10"/>
      <c r="U103" s="10" t="s">
        <v>23</v>
      </c>
    </row>
    <row r="104">
      <c r="A104" s="9" t="str">
        <f>HYPERLINK("https://docs.google.com/spreadsheets/d/1OvIOVR4AMBMcafVt9o6KEur-eEFhew1kw_KUv3DV3Xs/edit?usp=sharing","Brandon Hantz")</f>
        <v>Brandon Hantz</v>
      </c>
      <c r="B104" s="10">
        <v>23.0</v>
      </c>
      <c r="C104" s="10">
        <v>31.0</v>
      </c>
      <c r="D104" s="10">
        <v>14.0</v>
      </c>
      <c r="E104" s="11">
        <v>2.21</v>
      </c>
      <c r="F104" s="12">
        <v>0.0773</v>
      </c>
      <c r="G104" s="10">
        <v>36.0</v>
      </c>
      <c r="H104" s="10">
        <v>4.0</v>
      </c>
      <c r="I104" s="10" t="s">
        <v>9</v>
      </c>
      <c r="J104" s="10" t="s">
        <v>24</v>
      </c>
      <c r="K104" s="10" t="s">
        <v>56</v>
      </c>
      <c r="L104" s="13">
        <v>6.0</v>
      </c>
      <c r="M104" s="13">
        <v>4.0</v>
      </c>
      <c r="N104" s="13">
        <v>1.0</v>
      </c>
      <c r="O104" s="13">
        <v>11.0</v>
      </c>
      <c r="P104" s="13" t="s">
        <v>23</v>
      </c>
      <c r="Q104" s="13">
        <v>1.0</v>
      </c>
      <c r="R104" s="13"/>
      <c r="S104" s="10" t="s">
        <v>23</v>
      </c>
      <c r="T104" s="10"/>
      <c r="U104" s="10" t="s">
        <v>23</v>
      </c>
    </row>
    <row r="105">
      <c r="A105" s="9" t="str">
        <f>HYPERLINK("https://docs.google.com/spreadsheets/d/1EsGJrNyA7pLwFUlZ6WfOkbnPz58Cle9N9c6epQSDRVA/edit?usp=sharing","Andrew Savage")</f>
        <v>Andrew Savage</v>
      </c>
      <c r="B105" s="10">
        <v>31.0</v>
      </c>
      <c r="C105" s="10">
        <v>31.0</v>
      </c>
      <c r="D105" s="10">
        <v>8.0</v>
      </c>
      <c r="E105" s="11">
        <v>3.88</v>
      </c>
      <c r="F105" s="12">
        <v>0.0708</v>
      </c>
      <c r="G105" s="10">
        <v>21.0</v>
      </c>
      <c r="H105" s="10">
        <v>1.0</v>
      </c>
      <c r="I105" s="10" t="s">
        <v>9</v>
      </c>
      <c r="J105" s="10" t="s">
        <v>48</v>
      </c>
      <c r="K105" s="10" t="s">
        <v>82</v>
      </c>
      <c r="L105" s="13">
        <v>6.0</v>
      </c>
      <c r="M105" s="13">
        <v>3.0</v>
      </c>
      <c r="N105" s="13" t="s">
        <v>23</v>
      </c>
      <c r="O105" s="13">
        <v>5.0</v>
      </c>
      <c r="P105" s="10" t="s">
        <v>23</v>
      </c>
      <c r="Q105" s="10" t="s">
        <v>23</v>
      </c>
      <c r="R105" s="10"/>
      <c r="S105" s="10" t="s">
        <v>23</v>
      </c>
      <c r="T105" s="10"/>
      <c r="U105" s="10" t="s">
        <v>23</v>
      </c>
    </row>
    <row r="106">
      <c r="A106" s="9" t="str">
        <f>HYPERLINK("https://docs.google.com/spreadsheets/d/1EZNO7rY3X3GsqJDX9iY8RpZJJDJ-K4nm_Mxm1g397N0/edit?usp=sharing","Teresa Cooper")</f>
        <v>Teresa Cooper</v>
      </c>
      <c r="B106" s="10">
        <v>3.0</v>
      </c>
      <c r="C106" s="10">
        <v>30.0</v>
      </c>
      <c r="D106" s="10">
        <v>12.0</v>
      </c>
      <c r="E106" s="11">
        <v>2.5</v>
      </c>
      <c r="F106" s="12">
        <v>0.06</v>
      </c>
      <c r="G106" s="10">
        <v>36.0</v>
      </c>
      <c r="H106" s="10">
        <v>1.0</v>
      </c>
      <c r="I106" s="10" t="s">
        <v>9</v>
      </c>
      <c r="J106" s="10" t="s">
        <v>46</v>
      </c>
      <c r="K106" s="10" t="s">
        <v>52</v>
      </c>
      <c r="L106" s="13">
        <v>6.0</v>
      </c>
      <c r="M106" s="13">
        <v>3.0</v>
      </c>
      <c r="N106" s="13">
        <v>1.0</v>
      </c>
      <c r="O106" s="13">
        <v>9.0</v>
      </c>
      <c r="P106" s="10" t="s">
        <v>23</v>
      </c>
      <c r="Q106" s="10" t="s">
        <v>23</v>
      </c>
      <c r="R106" s="10"/>
      <c r="S106" s="10" t="s">
        <v>23</v>
      </c>
      <c r="T106" s="10"/>
      <c r="U106" s="10" t="s">
        <v>23</v>
      </c>
    </row>
    <row r="107">
      <c r="A107" s="9" t="str">
        <f>HYPERLINK("https://docs.google.com/spreadsheets/d/1EsGJrNyA7pLwFUlZ6WfOkbnPz58Cle9N9c6epQSDRVA/edit?usp=sharing","Joe Anglim")</f>
        <v>Joe Anglim</v>
      </c>
      <c r="B107" s="10">
        <v>31.0</v>
      </c>
      <c r="C107" s="10">
        <v>30.0</v>
      </c>
      <c r="D107" s="10">
        <v>12.0</v>
      </c>
      <c r="E107" s="11">
        <v>2.5</v>
      </c>
      <c r="F107" s="12">
        <v>0.0685</v>
      </c>
      <c r="G107" s="10">
        <v>32.0</v>
      </c>
      <c r="H107" s="10">
        <v>1.0</v>
      </c>
      <c r="I107" s="10" t="s">
        <v>9</v>
      </c>
      <c r="J107" s="10" t="s">
        <v>37</v>
      </c>
      <c r="K107" s="10" t="s">
        <v>71</v>
      </c>
      <c r="L107" s="13">
        <v>9.0</v>
      </c>
      <c r="M107" s="13">
        <v>6.0</v>
      </c>
      <c r="N107" s="13">
        <v>4.0</v>
      </c>
      <c r="O107" s="13">
        <v>6.0</v>
      </c>
      <c r="P107" s="10" t="s">
        <v>23</v>
      </c>
      <c r="Q107" s="10" t="s">
        <v>23</v>
      </c>
      <c r="R107" s="10"/>
      <c r="S107" s="10" t="s">
        <v>23</v>
      </c>
      <c r="T107" s="10"/>
      <c r="U107" s="10" t="s">
        <v>23</v>
      </c>
    </row>
    <row r="108">
      <c r="A108" s="9" t="str">
        <f>HYPERLINK("https://docs.google.com/spreadsheets/d/1ReMaq-fM8zzflOjjrMrgnxEsdZxPIPIJqiZ9cCLO3cE/edit?usp=sharing","Abi-Maria Gomes")</f>
        <v>Abi-Maria Gomes</v>
      </c>
      <c r="B108" s="10">
        <v>25.0</v>
      </c>
      <c r="C108" s="10">
        <v>30.0</v>
      </c>
      <c r="D108" s="10">
        <v>13.0</v>
      </c>
      <c r="E108" s="11">
        <v>2.31</v>
      </c>
      <c r="F108" s="12">
        <v>0.069</v>
      </c>
      <c r="G108" s="10">
        <v>36.0</v>
      </c>
      <c r="H108" s="10">
        <v>3.0</v>
      </c>
      <c r="I108" s="10" t="s">
        <v>9</v>
      </c>
      <c r="J108" s="10" t="s">
        <v>24</v>
      </c>
      <c r="K108" s="10" t="s">
        <v>70</v>
      </c>
      <c r="L108" s="13">
        <v>8.0</v>
      </c>
      <c r="M108" s="13">
        <v>6.0</v>
      </c>
      <c r="N108" s="13">
        <v>1.0</v>
      </c>
      <c r="O108" s="13">
        <v>7.0</v>
      </c>
      <c r="P108" s="10" t="s">
        <v>23</v>
      </c>
      <c r="Q108" s="10" t="s">
        <v>23</v>
      </c>
      <c r="R108" s="10"/>
      <c r="S108" s="10">
        <v>1.0</v>
      </c>
      <c r="T108" s="10"/>
      <c r="U108" s="10" t="s">
        <v>23</v>
      </c>
    </row>
    <row r="109">
      <c r="A109" s="9" t="str">
        <f>HYPERLINK("https://docs.google.com/spreadsheets/d/1tPYt5CqjX32YXnh0BRsechvszEP2n4_ePabpiRTSzqE/edit?usp=sharing","Tijuana Bradley")</f>
        <v>Tijuana Bradley</v>
      </c>
      <c r="B109" s="10">
        <v>7.0</v>
      </c>
      <c r="C109" s="10">
        <v>29.0</v>
      </c>
      <c r="D109" s="10">
        <v>11.0</v>
      </c>
      <c r="E109" s="11">
        <v>2.64</v>
      </c>
      <c r="F109" s="12">
        <v>0.0579</v>
      </c>
      <c r="G109" s="10">
        <v>30.0</v>
      </c>
      <c r="H109" s="10">
        <v>2.0</v>
      </c>
      <c r="I109" s="10" t="s">
        <v>9</v>
      </c>
      <c r="J109" s="10" t="s">
        <v>43</v>
      </c>
      <c r="K109" s="10" t="s">
        <v>57</v>
      </c>
      <c r="L109" s="13">
        <v>1.0</v>
      </c>
      <c r="M109" s="13">
        <v>3.0</v>
      </c>
      <c r="N109" s="13" t="s">
        <v>23</v>
      </c>
      <c r="O109" s="13">
        <v>8.0</v>
      </c>
      <c r="P109" s="10" t="s">
        <v>23</v>
      </c>
      <c r="Q109" s="10" t="s">
        <v>23</v>
      </c>
      <c r="R109" s="10"/>
      <c r="S109" s="10" t="s">
        <v>23</v>
      </c>
      <c r="T109" s="10"/>
      <c r="U109" s="10" t="s">
        <v>23</v>
      </c>
    </row>
    <row r="110">
      <c r="A110" s="15" t="str">
        <f>HYPERLINK("https://docs.google.com/spreadsheets/d/1VEbyebFdBtPJKQC_U2uGrW6_v1fn6Hsoz3YYLyCxHR0/edit?usp=sharing","Sally Schumann")</f>
        <v>Sally Schumann</v>
      </c>
      <c r="B110" s="13">
        <v>12.0</v>
      </c>
      <c r="C110" s="13">
        <v>29.0</v>
      </c>
      <c r="D110" s="13">
        <v>9.0</v>
      </c>
      <c r="E110" s="16">
        <v>3.22</v>
      </c>
      <c r="F110" s="17">
        <v>0.0794</v>
      </c>
      <c r="G110" s="13">
        <v>24.0</v>
      </c>
      <c r="H110" s="13" t="s">
        <v>23</v>
      </c>
      <c r="I110" s="13" t="s">
        <v>9</v>
      </c>
      <c r="J110" s="13" t="s">
        <v>48</v>
      </c>
      <c r="K110" s="13" t="s">
        <v>49</v>
      </c>
      <c r="L110" s="13">
        <v>5.0</v>
      </c>
      <c r="M110" s="13">
        <v>3.0</v>
      </c>
      <c r="N110" s="13">
        <v>1.0</v>
      </c>
      <c r="O110" s="13">
        <v>5.0</v>
      </c>
      <c r="P110" s="13">
        <v>1.0</v>
      </c>
      <c r="Q110" s="13" t="s">
        <v>23</v>
      </c>
      <c r="R110" s="13"/>
      <c r="S110" s="13" t="s">
        <v>23</v>
      </c>
      <c r="T110" s="13" t="s">
        <v>23</v>
      </c>
      <c r="U110" s="13" t="s">
        <v>23</v>
      </c>
    </row>
    <row r="111">
      <c r="A111" s="15" t="str">
        <f>HYPERLINK("https://docs.google.com/spreadsheets/d/1d8Hzm_QCJnDef8NF_dVYBZLjLjFI3Fl8Yt14m8Zhn8Y/edit?usp=sharing","Gregg Carey")</f>
        <v>Gregg Carey</v>
      </c>
      <c r="B111" s="13">
        <v>10.0</v>
      </c>
      <c r="C111" s="13">
        <v>29.0</v>
      </c>
      <c r="D111" s="13">
        <v>12.0</v>
      </c>
      <c r="E111" s="16">
        <v>2.42</v>
      </c>
      <c r="F111" s="17">
        <v>0.0679</v>
      </c>
      <c r="G111" s="13">
        <v>33.0</v>
      </c>
      <c r="H111" s="13">
        <v>3.0</v>
      </c>
      <c r="I111" s="13" t="s">
        <v>42</v>
      </c>
      <c r="J111" s="13" t="s">
        <v>58</v>
      </c>
      <c r="K111" s="13" t="s">
        <v>65</v>
      </c>
      <c r="L111" s="13">
        <v>9.0</v>
      </c>
      <c r="M111" s="13">
        <v>7.0</v>
      </c>
      <c r="N111" s="13" t="s">
        <v>23</v>
      </c>
      <c r="O111" s="13">
        <v>5.0</v>
      </c>
      <c r="P111" s="13" t="s">
        <v>23</v>
      </c>
      <c r="Q111" s="13" t="s">
        <v>23</v>
      </c>
      <c r="R111" s="13"/>
      <c r="S111" s="13" t="s">
        <v>23</v>
      </c>
      <c r="T111" s="13" t="s">
        <v>23</v>
      </c>
      <c r="U111" s="13" t="s">
        <v>23</v>
      </c>
    </row>
    <row r="112">
      <c r="A112" s="9" t="str">
        <f>HYPERLINK("https://docs.google.com/spreadsheets/d/1w0I5RoQ7uENhUG1ncC5V9B3b6BQapplx180-f9F9s4w/edit?usp=sharing","Alex Bell")</f>
        <v>Alex Bell</v>
      </c>
      <c r="B112" s="10">
        <v>6.0</v>
      </c>
      <c r="C112" s="10">
        <v>29.0</v>
      </c>
      <c r="D112" s="10">
        <v>10.0</v>
      </c>
      <c r="E112" s="11">
        <v>2.9</v>
      </c>
      <c r="F112" s="12">
        <v>0.0597</v>
      </c>
      <c r="G112" s="10">
        <v>30.0</v>
      </c>
      <c r="H112" s="10" t="s">
        <v>23</v>
      </c>
      <c r="I112" s="10" t="s">
        <v>9</v>
      </c>
      <c r="J112" s="10" t="s">
        <v>43</v>
      </c>
      <c r="K112" s="10" t="s">
        <v>57</v>
      </c>
      <c r="L112" s="13">
        <v>4.0</v>
      </c>
      <c r="M112" s="13">
        <v>3.0</v>
      </c>
      <c r="N112" s="13" t="s">
        <v>23</v>
      </c>
      <c r="O112" s="13">
        <v>7.0</v>
      </c>
      <c r="P112" s="10" t="s">
        <v>23</v>
      </c>
      <c r="Q112" s="10" t="s">
        <v>23</v>
      </c>
      <c r="R112" s="10"/>
      <c r="S112" s="10" t="s">
        <v>23</v>
      </c>
      <c r="T112" s="10"/>
      <c r="U112" s="10" t="s">
        <v>23</v>
      </c>
    </row>
    <row r="113">
      <c r="A113" s="18" t="s">
        <v>93</v>
      </c>
      <c r="B113" s="13">
        <v>40.0</v>
      </c>
      <c r="C113" s="13">
        <v>29.0</v>
      </c>
      <c r="D113" s="13">
        <v>15.0</v>
      </c>
      <c r="E113" s="16">
        <v>1.93</v>
      </c>
      <c r="F113" s="17">
        <v>0.0506</v>
      </c>
      <c r="G113" s="25">
        <v>13113.0</v>
      </c>
      <c r="H113" s="13">
        <v>4.0</v>
      </c>
      <c r="I113" s="13" t="s">
        <v>9</v>
      </c>
      <c r="J113" s="13" t="s">
        <v>45</v>
      </c>
      <c r="K113" s="13" t="s">
        <v>69</v>
      </c>
      <c r="L113" s="13">
        <v>3.0</v>
      </c>
      <c r="M113" s="13">
        <v>3.0</v>
      </c>
      <c r="N113" s="13" t="s">
        <v>23</v>
      </c>
      <c r="O113" s="13">
        <v>5.0</v>
      </c>
      <c r="P113" s="13" t="s">
        <v>23</v>
      </c>
      <c r="Q113" s="13" t="s">
        <v>23</v>
      </c>
      <c r="R113" s="13">
        <v>2.0</v>
      </c>
      <c r="S113" s="13">
        <v>1.0</v>
      </c>
      <c r="T113" s="13">
        <v>3.0</v>
      </c>
      <c r="U113" s="13" t="s">
        <v>23</v>
      </c>
    </row>
    <row r="114">
      <c r="A114" s="18" t="s">
        <v>94</v>
      </c>
      <c r="B114" s="13">
        <v>40.0</v>
      </c>
      <c r="C114" s="13">
        <v>29.0</v>
      </c>
      <c r="D114" s="13">
        <v>15.0</v>
      </c>
      <c r="E114" s="16">
        <v>1.93</v>
      </c>
      <c r="F114" s="17">
        <v>0.0506</v>
      </c>
      <c r="G114" s="13" t="s">
        <v>95</v>
      </c>
      <c r="H114" s="13">
        <v>4.0</v>
      </c>
      <c r="I114" s="13" t="s">
        <v>42</v>
      </c>
      <c r="J114" s="13" t="s">
        <v>58</v>
      </c>
      <c r="K114" s="13" t="s">
        <v>96</v>
      </c>
      <c r="L114" s="13">
        <v>1.0</v>
      </c>
      <c r="M114" s="13">
        <v>2.0</v>
      </c>
      <c r="N114" s="13" t="s">
        <v>23</v>
      </c>
      <c r="O114" s="13">
        <v>4.0</v>
      </c>
      <c r="P114" s="13" t="s">
        <v>23</v>
      </c>
      <c r="Q114" s="13" t="s">
        <v>23</v>
      </c>
      <c r="R114" s="13">
        <v>1.0</v>
      </c>
      <c r="S114" s="13">
        <v>1.0</v>
      </c>
      <c r="T114" s="13">
        <v>2.0</v>
      </c>
      <c r="U114" s="13" t="s">
        <v>23</v>
      </c>
    </row>
    <row r="115">
      <c r="A115" s="9" t="str">
        <f>HYPERLINK("https://docs.google.com/spreadsheets/d/1y7awzkkkaNlh7XKjc44AGriTvqB9H3pVz8cFLyIYdbo/edit?usp=sharing","Tasha Fox")</f>
        <v>Tasha Fox</v>
      </c>
      <c r="B115" s="10">
        <v>28.0</v>
      </c>
      <c r="C115" s="10">
        <v>28.0</v>
      </c>
      <c r="D115" s="10">
        <v>12.0</v>
      </c>
      <c r="E115" s="11">
        <v>2.33</v>
      </c>
      <c r="F115" s="12">
        <v>0.061</v>
      </c>
      <c r="G115" s="10">
        <v>33.0</v>
      </c>
      <c r="H115" s="10" t="s">
        <v>23</v>
      </c>
      <c r="I115" s="10" t="s">
        <v>9</v>
      </c>
      <c r="J115" s="10" t="s">
        <v>37</v>
      </c>
      <c r="K115" s="10" t="s">
        <v>56</v>
      </c>
      <c r="L115" s="13">
        <v>3.0</v>
      </c>
      <c r="M115" s="13">
        <v>2.0</v>
      </c>
      <c r="N115" s="13">
        <v>3.0</v>
      </c>
      <c r="O115" s="13">
        <v>10.0</v>
      </c>
      <c r="P115" s="10" t="s">
        <v>23</v>
      </c>
      <c r="Q115" s="10" t="s">
        <v>23</v>
      </c>
      <c r="R115" s="10"/>
      <c r="S115" s="10" t="s">
        <v>23</v>
      </c>
      <c r="T115" s="10"/>
      <c r="U115" s="10" t="s">
        <v>23</v>
      </c>
    </row>
    <row r="116">
      <c r="A116" s="9" t="str">
        <f>HYPERLINK("https://docs.google.com/spreadsheets/d/1nRsx7fR5xbH1eAbI_vBDvqXOgh7mXIwmZNhzrVL6oGM/edit?usp=sharing","Robert DeCanio")</f>
        <v>Robert DeCanio</v>
      </c>
      <c r="B116" s="10">
        <v>4.0</v>
      </c>
      <c r="C116" s="10">
        <v>28.0</v>
      </c>
      <c r="D116" s="10">
        <v>11.0</v>
      </c>
      <c r="E116" s="11">
        <v>2.55</v>
      </c>
      <c r="F116" s="12">
        <v>0.0586</v>
      </c>
      <c r="G116" s="10">
        <v>33.0</v>
      </c>
      <c r="H116" s="10">
        <v>1.0</v>
      </c>
      <c r="I116" s="10" t="s">
        <v>9</v>
      </c>
      <c r="J116" s="10" t="s">
        <v>58</v>
      </c>
      <c r="K116" s="10" t="s">
        <v>59</v>
      </c>
      <c r="L116" s="13">
        <v>2.0</v>
      </c>
      <c r="M116" s="13">
        <v>5.0</v>
      </c>
      <c r="N116" s="13">
        <v>1.0</v>
      </c>
      <c r="O116" s="13">
        <v>6.0</v>
      </c>
      <c r="P116" s="10" t="s">
        <v>23</v>
      </c>
      <c r="Q116" s="10" t="s">
        <v>23</v>
      </c>
      <c r="R116" s="10"/>
      <c r="S116" s="10" t="s">
        <v>23</v>
      </c>
      <c r="T116" s="10"/>
      <c r="U116" s="10" t="s">
        <v>23</v>
      </c>
    </row>
    <row r="117">
      <c r="A117" s="9" t="str">
        <f>HYPERLINK("https://docs.google.com/spreadsheets/d/1ReMaq-fM8zzflOjjrMrgnxEsdZxPIPIJqiZ9cCLO3cE/edit?usp=sharing","Jeff Kent")</f>
        <v>Jeff Kent</v>
      </c>
      <c r="B117" s="10">
        <v>25.0</v>
      </c>
      <c r="C117" s="10">
        <v>28.0</v>
      </c>
      <c r="D117" s="10">
        <v>8.0</v>
      </c>
      <c r="E117" s="11">
        <v>3.5</v>
      </c>
      <c r="F117" s="12">
        <v>0.0644</v>
      </c>
      <c r="G117" s="10">
        <v>22.0</v>
      </c>
      <c r="H117" s="10" t="s">
        <v>23</v>
      </c>
      <c r="I117" s="10" t="s">
        <v>9</v>
      </c>
      <c r="J117" s="10" t="s">
        <v>48</v>
      </c>
      <c r="K117" s="10" t="s">
        <v>68</v>
      </c>
      <c r="L117" s="13">
        <v>7.0</v>
      </c>
      <c r="M117" s="13">
        <v>4.0</v>
      </c>
      <c r="N117" s="13" t="s">
        <v>23</v>
      </c>
      <c r="O117" s="13">
        <v>4.0</v>
      </c>
      <c r="P117" s="10" t="s">
        <v>23</v>
      </c>
      <c r="Q117" s="10" t="s">
        <v>23</v>
      </c>
      <c r="R117" s="10"/>
      <c r="S117" s="10" t="s">
        <v>23</v>
      </c>
      <c r="T117" s="10"/>
      <c r="U117" s="10" t="s">
        <v>23</v>
      </c>
    </row>
    <row r="118">
      <c r="A118" s="9" t="str">
        <f>HYPERLINK("https://docs.google.com/spreadsheets/d/1w0I5RoQ7uENhUG1ncC5V9B3b6BQapplx180-f9F9s4w/edit?usp=sharing","Christy Smith")</f>
        <v>Christy Smith</v>
      </c>
      <c r="B118" s="10">
        <v>6.0</v>
      </c>
      <c r="C118" s="10">
        <v>28.0</v>
      </c>
      <c r="D118" s="10">
        <v>11.0</v>
      </c>
      <c r="E118" s="11">
        <v>2.55</v>
      </c>
      <c r="F118" s="12">
        <v>0.0576</v>
      </c>
      <c r="G118" s="10">
        <v>33.0</v>
      </c>
      <c r="H118" s="10">
        <v>1.0</v>
      </c>
      <c r="I118" s="10" t="s">
        <v>9</v>
      </c>
      <c r="J118" s="10" t="s">
        <v>58</v>
      </c>
      <c r="K118" s="10" t="s">
        <v>59</v>
      </c>
      <c r="L118" s="13">
        <v>6.0</v>
      </c>
      <c r="M118" s="13">
        <v>3.0</v>
      </c>
      <c r="N118" s="13" t="s">
        <v>23</v>
      </c>
      <c r="O118" s="13">
        <v>8.0</v>
      </c>
      <c r="P118" s="10" t="s">
        <v>23</v>
      </c>
      <c r="Q118" s="10" t="s">
        <v>23</v>
      </c>
      <c r="R118" s="10"/>
      <c r="S118" s="10" t="s">
        <v>23</v>
      </c>
      <c r="T118" s="10"/>
      <c r="U118" s="10" t="s">
        <v>23</v>
      </c>
    </row>
    <row r="119">
      <c r="A119" s="9" t="str">
        <f>HYPERLINK("https://docs.google.com/spreadsheets/d/1EZNO7rY3X3GsqJDX9iY8RpZJJDJ-K4nm_Mxm1g397N0/edit?usp=sharing","Brandon Quinton")</f>
        <v>Brandon Quinton</v>
      </c>
      <c r="B119" s="10">
        <v>3.0</v>
      </c>
      <c r="C119" s="10">
        <v>28.0</v>
      </c>
      <c r="D119" s="10">
        <v>9.0</v>
      </c>
      <c r="E119" s="11">
        <v>3.11</v>
      </c>
      <c r="F119" s="12">
        <v>0.056</v>
      </c>
      <c r="G119" s="10">
        <v>27.0</v>
      </c>
      <c r="H119" s="10" t="s">
        <v>23</v>
      </c>
      <c r="I119" s="10" t="s">
        <v>9</v>
      </c>
      <c r="J119" s="10" t="s">
        <v>48</v>
      </c>
      <c r="K119" s="10" t="s">
        <v>49</v>
      </c>
      <c r="L119" s="13">
        <v>6.0</v>
      </c>
      <c r="M119" s="13">
        <v>3.0</v>
      </c>
      <c r="N119" s="13" t="s">
        <v>23</v>
      </c>
      <c r="O119" s="13">
        <v>6.0</v>
      </c>
      <c r="P119" s="10" t="s">
        <v>23</v>
      </c>
      <c r="Q119" s="10" t="s">
        <v>23</v>
      </c>
      <c r="R119" s="10"/>
      <c r="S119" s="10" t="s">
        <v>23</v>
      </c>
      <c r="T119" s="10"/>
      <c r="U119" s="10" t="s">
        <v>23</v>
      </c>
    </row>
    <row r="120">
      <c r="A120" s="9" t="str">
        <f>HYPERLINK("https://docs.google.com/spreadsheets/d/1EsGJrNyA7pLwFUlZ6WfOkbnPz58Cle9N9c6epQSDRVA/edit?usp=sharing","Abi-Maria Gomes")</f>
        <v>Abi-Maria Gomes</v>
      </c>
      <c r="B120" s="10">
        <v>31.0</v>
      </c>
      <c r="C120" s="10">
        <v>28.0</v>
      </c>
      <c r="D120" s="10">
        <v>13.0</v>
      </c>
      <c r="E120" s="11">
        <v>2.15</v>
      </c>
      <c r="F120" s="12">
        <v>0.0639</v>
      </c>
      <c r="G120" s="10">
        <v>35.0</v>
      </c>
      <c r="H120" s="10">
        <v>3.0</v>
      </c>
      <c r="I120" s="10" t="s">
        <v>9</v>
      </c>
      <c r="J120" s="10" t="s">
        <v>24</v>
      </c>
      <c r="K120" s="10" t="s">
        <v>44</v>
      </c>
      <c r="L120" s="13">
        <v>7.0</v>
      </c>
      <c r="M120" s="13">
        <v>1.0</v>
      </c>
      <c r="N120" s="13" t="s">
        <v>23</v>
      </c>
      <c r="O120" s="13">
        <v>12.0</v>
      </c>
      <c r="P120" s="10" t="s">
        <v>23</v>
      </c>
      <c r="Q120" s="10" t="s">
        <v>23</v>
      </c>
      <c r="R120" s="10"/>
      <c r="S120" s="10" t="s">
        <v>23</v>
      </c>
      <c r="T120" s="10"/>
      <c r="U120" s="10" t="s">
        <v>23</v>
      </c>
    </row>
    <row r="121">
      <c r="A121" s="15" t="str">
        <f>HYPERLINK("https://docs.google.com/spreadsheets/d/1q-5bbq9txg93Y0eUACxRPTIN5PuRjeDVpNDfeXEw4iE/edit?usp=sharing","Joe Mena")</f>
        <v>Joe Mena</v>
      </c>
      <c r="B121" s="13">
        <v>35.0</v>
      </c>
      <c r="C121" s="13">
        <v>28.0</v>
      </c>
      <c r="D121" s="13">
        <v>11.0</v>
      </c>
      <c r="E121" s="16">
        <v>2.55</v>
      </c>
      <c r="F121" s="17">
        <v>0.065</v>
      </c>
      <c r="G121" s="13">
        <v>30.0</v>
      </c>
      <c r="H121" s="13" t="s">
        <v>23</v>
      </c>
      <c r="I121" s="13" t="s">
        <v>9</v>
      </c>
      <c r="J121" s="13" t="s">
        <v>58</v>
      </c>
      <c r="K121" s="13" t="s">
        <v>47</v>
      </c>
      <c r="L121" s="13">
        <v>8.0</v>
      </c>
      <c r="M121" s="13">
        <v>5.0</v>
      </c>
      <c r="N121" s="13" t="s">
        <v>23</v>
      </c>
      <c r="O121" s="13">
        <v>6.0</v>
      </c>
      <c r="P121" s="13" t="s">
        <v>23</v>
      </c>
      <c r="Q121" s="13" t="s">
        <v>23</v>
      </c>
      <c r="R121" s="13"/>
      <c r="S121" s="13">
        <v>2.0</v>
      </c>
      <c r="T121" s="13" t="s">
        <v>23</v>
      </c>
      <c r="U121" s="13" t="s">
        <v>23</v>
      </c>
    </row>
    <row r="122">
      <c r="A122" s="18" t="s">
        <v>97</v>
      </c>
      <c r="B122" s="13">
        <v>40.0</v>
      </c>
      <c r="C122" s="13">
        <v>28.0</v>
      </c>
      <c r="D122" s="13">
        <v>15.0</v>
      </c>
      <c r="E122" s="16">
        <v>1.87</v>
      </c>
      <c r="F122" s="17">
        <v>0.0489</v>
      </c>
      <c r="G122" s="13" t="s">
        <v>98</v>
      </c>
      <c r="H122" s="13">
        <v>4.0</v>
      </c>
      <c r="I122" s="13" t="s">
        <v>9</v>
      </c>
      <c r="J122" s="13" t="s">
        <v>99</v>
      </c>
      <c r="K122" s="13" t="s">
        <v>44</v>
      </c>
      <c r="L122" s="13">
        <v>4.0</v>
      </c>
      <c r="M122" s="13">
        <v>4.0</v>
      </c>
      <c r="N122" s="13">
        <v>1.0</v>
      </c>
      <c r="O122" s="13">
        <v>11.0</v>
      </c>
      <c r="P122" s="13" t="s">
        <v>23</v>
      </c>
      <c r="Q122" s="13" t="s">
        <v>23</v>
      </c>
      <c r="R122" s="13">
        <v>1.0</v>
      </c>
      <c r="S122" s="13" t="s">
        <v>23</v>
      </c>
      <c r="T122" s="13">
        <v>4.0</v>
      </c>
      <c r="U122" s="13" t="s">
        <v>23</v>
      </c>
    </row>
    <row r="123">
      <c r="A123" s="9" t="str">
        <f>HYPERLINK("https://docs.google.com/spreadsheets/d/1HA0vQC0CSnQtVc8u58vwNd3sIFCc79SKVqM1abMG1hI/edit?usp=sharing","Tyler Fredrickson")</f>
        <v>Tyler Fredrickson</v>
      </c>
      <c r="B123" s="10">
        <v>30.0</v>
      </c>
      <c r="C123" s="10">
        <v>27.0</v>
      </c>
      <c r="D123" s="10">
        <v>12.0</v>
      </c>
      <c r="E123" s="11">
        <v>2.25</v>
      </c>
      <c r="F123" s="12">
        <v>0.0591</v>
      </c>
      <c r="G123" s="10">
        <v>32.0</v>
      </c>
      <c r="H123" s="10">
        <v>3.0</v>
      </c>
      <c r="I123" s="10" t="s">
        <v>9</v>
      </c>
      <c r="J123" s="10" t="s">
        <v>46</v>
      </c>
      <c r="K123" s="10" t="s">
        <v>66</v>
      </c>
      <c r="L123" s="13">
        <v>9.0</v>
      </c>
      <c r="M123" s="13">
        <v>4.0</v>
      </c>
      <c r="N123" s="13">
        <v>1.0</v>
      </c>
      <c r="O123" s="13">
        <v>8.0</v>
      </c>
      <c r="P123" s="10" t="s">
        <v>23</v>
      </c>
      <c r="Q123" s="10" t="s">
        <v>23</v>
      </c>
      <c r="R123" s="10"/>
      <c r="S123" s="10" t="s">
        <v>23</v>
      </c>
      <c r="T123" s="10"/>
      <c r="U123" s="10" t="s">
        <v>23</v>
      </c>
    </row>
    <row r="124">
      <c r="A124" s="15" t="str">
        <f>HYPERLINK("https://docs.google.com/spreadsheets/d/1t379i2CYDM1ZVdZZy_Nj2m3ht6Sp4J68-xZ2v4-PIMo/edit?usp=sharing","Nick Maiorano")</f>
        <v>Nick Maiorano</v>
      </c>
      <c r="B124" s="13">
        <v>32.0</v>
      </c>
      <c r="C124" s="13">
        <v>27.0</v>
      </c>
      <c r="D124" s="13">
        <v>8.0</v>
      </c>
      <c r="E124" s="16">
        <v>3.38</v>
      </c>
      <c r="F124" s="17">
        <v>0.0547</v>
      </c>
      <c r="G124" s="13">
        <v>22.0</v>
      </c>
      <c r="H124" s="13">
        <v>2.0</v>
      </c>
      <c r="I124" s="13" t="s">
        <v>9</v>
      </c>
      <c r="J124" s="13" t="s">
        <v>48</v>
      </c>
      <c r="K124" s="13" t="s">
        <v>68</v>
      </c>
      <c r="L124" s="13">
        <v>6.0</v>
      </c>
      <c r="M124" s="13">
        <v>6.0</v>
      </c>
      <c r="N124" s="13">
        <v>1.0</v>
      </c>
      <c r="O124" s="13">
        <v>1.0</v>
      </c>
      <c r="P124" s="13" t="s">
        <v>23</v>
      </c>
      <c r="Q124" s="13" t="s">
        <v>23</v>
      </c>
      <c r="R124" s="13"/>
      <c r="S124" s="13" t="s">
        <v>23</v>
      </c>
      <c r="T124" s="13"/>
      <c r="U124" s="13" t="s">
        <v>23</v>
      </c>
    </row>
    <row r="125">
      <c r="A125" s="9" t="str">
        <f>HYPERLINK("https://docs.google.com/spreadsheets/d/1CcEdjXKuhm6HmXecNbnscxpFab1HRQEjKSDga6QxqAU/edit?usp=sharing","Mike Chiesl")</f>
        <v>Mike Chiesl</v>
      </c>
      <c r="B125" s="10">
        <v>22.0</v>
      </c>
      <c r="C125" s="10">
        <v>27.0</v>
      </c>
      <c r="D125" s="10">
        <v>14.0</v>
      </c>
      <c r="E125" s="11">
        <v>1.93</v>
      </c>
      <c r="F125" s="12">
        <v>0.0637</v>
      </c>
      <c r="G125" s="10">
        <v>36.0</v>
      </c>
      <c r="H125" s="10">
        <v>2.0</v>
      </c>
      <c r="I125" s="10" t="s">
        <v>9</v>
      </c>
      <c r="J125" s="10" t="s">
        <v>24</v>
      </c>
      <c r="K125" s="10" t="s">
        <v>56</v>
      </c>
      <c r="L125" s="13">
        <v>4.0</v>
      </c>
      <c r="M125" s="13">
        <v>3.0</v>
      </c>
      <c r="N125" s="13" t="s">
        <v>23</v>
      </c>
      <c r="O125" s="13">
        <v>6.0</v>
      </c>
      <c r="P125" s="13" t="s">
        <v>23</v>
      </c>
      <c r="Q125" s="13">
        <v>1.0</v>
      </c>
      <c r="R125" s="13"/>
      <c r="S125" s="10" t="s">
        <v>23</v>
      </c>
      <c r="T125" s="10"/>
      <c r="U125" s="10" t="s">
        <v>23</v>
      </c>
    </row>
    <row r="126">
      <c r="A126" s="9" t="str">
        <f>HYPERLINK("https://docs.google.com/spreadsheets/d/1nYlVL4RxK2ZUH-a4MfKCalHyEjDRWz2ZumhyoaYsjTE/edit?usp=sharing","Brenda Lowe")</f>
        <v>Brenda Lowe</v>
      </c>
      <c r="B126" s="10">
        <v>21.0</v>
      </c>
      <c r="C126" s="10">
        <v>27.0</v>
      </c>
      <c r="D126" s="10">
        <v>10.0</v>
      </c>
      <c r="E126" s="11">
        <v>2.7</v>
      </c>
      <c r="F126" s="12">
        <v>0.0649</v>
      </c>
      <c r="G126" s="10">
        <v>27.0</v>
      </c>
      <c r="H126" s="10" t="s">
        <v>23</v>
      </c>
      <c r="I126" s="10" t="s">
        <v>9</v>
      </c>
      <c r="J126" s="10" t="s">
        <v>43</v>
      </c>
      <c r="K126" s="10" t="s">
        <v>86</v>
      </c>
      <c r="L126" s="13">
        <v>5.0</v>
      </c>
      <c r="M126" s="13">
        <v>4.0</v>
      </c>
      <c r="N126" s="13">
        <v>1.0</v>
      </c>
      <c r="O126" s="13">
        <v>6.0</v>
      </c>
      <c r="P126" s="10" t="s">
        <v>23</v>
      </c>
      <c r="Q126" s="10" t="s">
        <v>23</v>
      </c>
      <c r="R126" s="10"/>
      <c r="S126" s="10" t="s">
        <v>23</v>
      </c>
      <c r="T126" s="10"/>
      <c r="U126" s="10" t="s">
        <v>23</v>
      </c>
    </row>
    <row r="127">
      <c r="A127" s="15" t="str">
        <f>HYPERLINK("https://docs.google.com/spreadsheets/d/1sWOJC8eB6rVdXdWiWMgfbfgw2325jIh1ODKxyaCmSGc/edit?usp=sharing","Bobby Jon Drinkard")</f>
        <v>Bobby Jon Drinkard</v>
      </c>
      <c r="B127" s="13">
        <v>11.0</v>
      </c>
      <c r="C127" s="13">
        <v>27.0</v>
      </c>
      <c r="D127" s="13">
        <v>9.0</v>
      </c>
      <c r="E127" s="16">
        <v>3.0</v>
      </c>
      <c r="F127" s="17">
        <v>0.0612</v>
      </c>
      <c r="G127" s="13">
        <v>24.0</v>
      </c>
      <c r="H127" s="13">
        <v>1.0</v>
      </c>
      <c r="I127" s="13" t="s">
        <v>9</v>
      </c>
      <c r="J127" s="13" t="s">
        <v>84</v>
      </c>
      <c r="K127" s="13" t="s">
        <v>83</v>
      </c>
      <c r="L127" s="13">
        <v>7.0</v>
      </c>
      <c r="M127" s="13">
        <v>3.0</v>
      </c>
      <c r="N127" s="13" t="s">
        <v>23</v>
      </c>
      <c r="O127" s="13">
        <v>6.0</v>
      </c>
      <c r="P127" s="13" t="s">
        <v>23</v>
      </c>
      <c r="Q127" s="13" t="s">
        <v>23</v>
      </c>
      <c r="R127" s="13"/>
      <c r="S127" s="13" t="s">
        <v>23</v>
      </c>
      <c r="T127" s="13" t="s">
        <v>23</v>
      </c>
      <c r="U127" s="13" t="s">
        <v>23</v>
      </c>
    </row>
    <row r="128">
      <c r="A128" s="9" t="str">
        <f>HYPERLINK("https://docs.google.com/spreadsheets/d/1hg_GT4r2smQsgkwEYBqHOukVavnNSyncsyfceWDpOho/edit?usp=sharing","Alicia Calaway")</f>
        <v>Alicia Calaway</v>
      </c>
      <c r="B128" s="10">
        <v>8.0</v>
      </c>
      <c r="C128" s="10">
        <v>27.0</v>
      </c>
      <c r="D128" s="10">
        <v>12.0</v>
      </c>
      <c r="E128" s="11">
        <v>2.25</v>
      </c>
      <c r="F128" s="12">
        <v>0.0533</v>
      </c>
      <c r="G128" s="10">
        <v>30.0</v>
      </c>
      <c r="H128" s="10">
        <v>3.0</v>
      </c>
      <c r="I128" s="10" t="s">
        <v>9</v>
      </c>
      <c r="J128" s="10" t="s">
        <v>43</v>
      </c>
      <c r="K128" s="10" t="s">
        <v>66</v>
      </c>
      <c r="L128" s="13">
        <v>10.0</v>
      </c>
      <c r="M128" s="13">
        <v>5.0</v>
      </c>
      <c r="N128" s="13" t="s">
        <v>23</v>
      </c>
      <c r="O128" s="13">
        <v>4.0</v>
      </c>
      <c r="P128" s="10" t="s">
        <v>23</v>
      </c>
      <c r="Q128" s="10" t="s">
        <v>23</v>
      </c>
      <c r="R128" s="10"/>
      <c r="S128" s="10" t="s">
        <v>23</v>
      </c>
      <c r="T128" s="10"/>
      <c r="U128" s="10" t="s">
        <v>23</v>
      </c>
    </row>
    <row r="129">
      <c r="A129" s="15" t="str">
        <f>HYPERLINK("https://docs.google.com/spreadsheets/d/1q-5bbq9txg93Y0eUACxRPTIN5PuRjeDVpNDfeXEw4iE/edit?usp=sharing","Ashley Nolan")</f>
        <v>Ashley Nolan</v>
      </c>
      <c r="B129" s="13">
        <v>35.0</v>
      </c>
      <c r="C129" s="13">
        <v>27.0</v>
      </c>
      <c r="D129" s="13">
        <v>13.0</v>
      </c>
      <c r="E129" s="16">
        <v>2.08</v>
      </c>
      <c r="F129" s="17">
        <v>0.0626</v>
      </c>
      <c r="G129" s="13">
        <v>36.0</v>
      </c>
      <c r="H129" s="13">
        <v>1.0</v>
      </c>
      <c r="I129" s="13" t="s">
        <v>9</v>
      </c>
      <c r="J129" s="13" t="s">
        <v>37</v>
      </c>
      <c r="K129" s="13" t="s">
        <v>56</v>
      </c>
      <c r="L129" s="13">
        <v>8.0</v>
      </c>
      <c r="M129" s="13">
        <v>4.0</v>
      </c>
      <c r="N129" s="13">
        <v>2.0</v>
      </c>
      <c r="O129" s="13">
        <v>9.0</v>
      </c>
      <c r="P129" s="13" t="s">
        <v>23</v>
      </c>
      <c r="Q129" s="13" t="s">
        <v>23</v>
      </c>
      <c r="R129" s="13"/>
      <c r="S129" s="13" t="s">
        <v>23</v>
      </c>
      <c r="T129" s="13" t="s">
        <v>23</v>
      </c>
      <c r="U129" s="13" t="s">
        <v>23</v>
      </c>
    </row>
    <row r="130">
      <c r="A130" s="9" t="str">
        <f>HYPERLINK("https://docs.google.com/spreadsheets/d/1y7awzkkkaNlh7XKjc44AGriTvqB9H3pVz8cFLyIYdbo/edit?usp=sharing","Sarah Lacina")</f>
        <v>Sarah Lacina</v>
      </c>
      <c r="B130" s="10">
        <v>28.0</v>
      </c>
      <c r="C130" s="10">
        <v>26.0</v>
      </c>
      <c r="D130" s="10">
        <v>7.0</v>
      </c>
      <c r="E130" s="11">
        <v>3.71</v>
      </c>
      <c r="F130" s="12">
        <v>0.0566</v>
      </c>
      <c r="G130" s="10">
        <v>19.0</v>
      </c>
      <c r="H130" s="10" t="s">
        <v>23</v>
      </c>
      <c r="I130" s="10" t="s">
        <v>9</v>
      </c>
      <c r="J130" s="10" t="s">
        <v>84</v>
      </c>
      <c r="K130" s="10" t="s">
        <v>85</v>
      </c>
      <c r="L130" s="13">
        <v>5.0</v>
      </c>
      <c r="M130" s="13">
        <v>5.0</v>
      </c>
      <c r="N130" s="13" t="s">
        <v>23</v>
      </c>
      <c r="O130" s="13">
        <v>2.0</v>
      </c>
      <c r="P130" s="10" t="s">
        <v>23</v>
      </c>
      <c r="Q130" s="10" t="s">
        <v>23</v>
      </c>
      <c r="R130" s="10"/>
      <c r="S130" s="10" t="s">
        <v>23</v>
      </c>
      <c r="T130" s="10"/>
      <c r="U130" s="10" t="s">
        <v>23</v>
      </c>
    </row>
    <row r="131">
      <c r="A131" s="9" t="str">
        <f>HYPERLINK("https://docs.google.com/spreadsheets/d/1HA0vQC0CSnQtVc8u58vwNd3sIFCc79SKVqM1abMG1hI/edit?usp=sharing","Joe Anglim")</f>
        <v>Joe Anglim</v>
      </c>
      <c r="B131" s="10">
        <v>30.0</v>
      </c>
      <c r="C131" s="10">
        <v>26.0</v>
      </c>
      <c r="D131" s="10">
        <v>9.0</v>
      </c>
      <c r="E131" s="11">
        <v>2.89</v>
      </c>
      <c r="F131" s="12">
        <v>0.0569</v>
      </c>
      <c r="G131" s="10">
        <v>24.0</v>
      </c>
      <c r="H131" s="10">
        <v>2.0</v>
      </c>
      <c r="I131" s="10" t="s">
        <v>9</v>
      </c>
      <c r="J131" s="10" t="s">
        <v>48</v>
      </c>
      <c r="K131" s="10" t="s">
        <v>68</v>
      </c>
      <c r="L131" s="13">
        <v>5.0</v>
      </c>
      <c r="M131" s="13">
        <v>3.0</v>
      </c>
      <c r="N131" s="13">
        <v>2.0</v>
      </c>
      <c r="O131" s="13">
        <v>6.0</v>
      </c>
      <c r="P131" s="10" t="s">
        <v>23</v>
      </c>
      <c r="Q131" s="10" t="s">
        <v>23</v>
      </c>
      <c r="R131" s="10"/>
      <c r="S131" s="10" t="s">
        <v>23</v>
      </c>
      <c r="T131" s="10"/>
      <c r="U131" s="10" t="s">
        <v>23</v>
      </c>
    </row>
    <row r="132">
      <c r="A132" s="15" t="str">
        <f>HYPERLINK("https://docs.google.com/spreadsheets/d/1t379i2CYDM1ZVdZZy_Nj2m3ht6Sp4J68-xZ2v4-PIMo/edit?usp=sharing","Debbie Wanner")</f>
        <v>Debbie Wanner</v>
      </c>
      <c r="B132" s="13">
        <v>32.0</v>
      </c>
      <c r="C132" s="13">
        <v>26.0</v>
      </c>
      <c r="D132" s="13">
        <v>9.0</v>
      </c>
      <c r="E132" s="16">
        <v>2.89</v>
      </c>
      <c r="F132" s="17">
        <v>0.0526</v>
      </c>
      <c r="G132" s="13">
        <v>24.0</v>
      </c>
      <c r="H132" s="13" t="s">
        <v>23</v>
      </c>
      <c r="I132" s="13" t="s">
        <v>9</v>
      </c>
      <c r="J132" s="13" t="s">
        <v>43</v>
      </c>
      <c r="K132" s="13" t="s">
        <v>83</v>
      </c>
      <c r="L132" s="13">
        <v>5.0</v>
      </c>
      <c r="M132" s="13">
        <v>5.0</v>
      </c>
      <c r="N132" s="13" t="s">
        <v>23</v>
      </c>
      <c r="O132" s="13">
        <v>3.0</v>
      </c>
      <c r="P132" s="13" t="s">
        <v>23</v>
      </c>
      <c r="Q132" s="13" t="s">
        <v>23</v>
      </c>
      <c r="R132" s="13"/>
      <c r="S132" s="13" t="s">
        <v>23</v>
      </c>
      <c r="T132" s="13"/>
      <c r="U132" s="13" t="s">
        <v>23</v>
      </c>
    </row>
    <row r="133">
      <c r="A133" s="15" t="str">
        <f>HYPERLINK("https://docs.google.com/spreadsheets/d/1Hf_PbZTXAuooCoiF7c3Bz80t5-zCjdWHF8wQ_HyodNs/edit?usp=sharing","Chris Noble")</f>
        <v>Chris Noble</v>
      </c>
      <c r="B133" s="13">
        <v>36.0</v>
      </c>
      <c r="C133" s="13">
        <v>26.0</v>
      </c>
      <c r="D133" s="13">
        <v>8.0</v>
      </c>
      <c r="E133" s="16">
        <v>3.25</v>
      </c>
      <c r="F133" s="17">
        <v>0.0662</v>
      </c>
      <c r="G133" s="13">
        <v>22.0</v>
      </c>
      <c r="H133" s="13" t="s">
        <v>23</v>
      </c>
      <c r="I133" s="13" t="s">
        <v>9</v>
      </c>
      <c r="J133" s="13" t="s">
        <v>84</v>
      </c>
      <c r="K133" s="13" t="s">
        <v>100</v>
      </c>
      <c r="L133" s="13">
        <v>5.0</v>
      </c>
      <c r="M133" s="13">
        <v>6.0</v>
      </c>
      <c r="N133" s="13" t="s">
        <v>23</v>
      </c>
      <c r="O133" s="13">
        <v>1.0</v>
      </c>
      <c r="P133" s="13">
        <v>2.0</v>
      </c>
      <c r="Q133" s="13" t="s">
        <v>23</v>
      </c>
      <c r="R133" s="13"/>
      <c r="S133" s="13">
        <v>1.0</v>
      </c>
      <c r="T133" s="13" t="s">
        <v>23</v>
      </c>
      <c r="U133" s="13" t="s">
        <v>23</v>
      </c>
    </row>
    <row r="134">
      <c r="A134" s="18" t="s">
        <v>101</v>
      </c>
      <c r="B134" s="13">
        <v>40.0</v>
      </c>
      <c r="C134" s="13">
        <v>26.0</v>
      </c>
      <c r="D134" s="13">
        <v>15.0</v>
      </c>
      <c r="E134" s="16">
        <v>1.73</v>
      </c>
      <c r="F134" s="17">
        <v>0.0454</v>
      </c>
      <c r="G134" s="13" t="s">
        <v>102</v>
      </c>
      <c r="H134" s="13">
        <v>3.0</v>
      </c>
      <c r="I134" s="13" t="s">
        <v>42</v>
      </c>
      <c r="J134" s="13" t="s">
        <v>46</v>
      </c>
      <c r="K134" s="13" t="s">
        <v>103</v>
      </c>
      <c r="L134" s="13">
        <v>1.0</v>
      </c>
      <c r="M134" s="13">
        <v>3.0</v>
      </c>
      <c r="N134" s="13" t="s">
        <v>23</v>
      </c>
      <c r="O134" s="13">
        <v>4.0</v>
      </c>
      <c r="P134" s="13" t="s">
        <v>23</v>
      </c>
      <c r="Q134" s="13" t="s">
        <v>23</v>
      </c>
      <c r="R134" s="13">
        <v>1.0</v>
      </c>
      <c r="S134" s="13" t="s">
        <v>23</v>
      </c>
      <c r="T134" s="13">
        <v>4.0</v>
      </c>
      <c r="U134" s="13" t="s">
        <v>23</v>
      </c>
    </row>
    <row r="135">
      <c r="A135" s="15" t="str">
        <f>HYPERLINK("https://docs.google.com/spreadsheets/d/1tElnwN2HVf964gGw8Ei53RyfjarS40wkDY3zivAPWp0/edit?usp=sharing","Zeke Smith")</f>
        <v>Zeke Smith</v>
      </c>
      <c r="B135" s="13">
        <v>34.0</v>
      </c>
      <c r="C135" s="13">
        <v>25.0</v>
      </c>
      <c r="D135" s="13">
        <v>11.0</v>
      </c>
      <c r="E135" s="16">
        <v>2.27</v>
      </c>
      <c r="F135" s="17">
        <v>0.0607</v>
      </c>
      <c r="G135" s="13">
        <v>29.0</v>
      </c>
      <c r="H135" s="13">
        <v>2.0</v>
      </c>
      <c r="I135" s="13" t="s">
        <v>9</v>
      </c>
      <c r="J135" s="13" t="s">
        <v>58</v>
      </c>
      <c r="K135" s="13" t="s">
        <v>86</v>
      </c>
      <c r="L135" s="13">
        <v>8.0</v>
      </c>
      <c r="M135" s="13">
        <v>5.0</v>
      </c>
      <c r="N135" s="13" t="s">
        <v>23</v>
      </c>
      <c r="O135" s="13">
        <v>6.0</v>
      </c>
      <c r="P135" s="13" t="s">
        <v>23</v>
      </c>
      <c r="Q135" s="13" t="s">
        <v>23</v>
      </c>
      <c r="R135" s="13"/>
      <c r="S135" s="13" t="s">
        <v>23</v>
      </c>
      <c r="T135" s="13" t="s">
        <v>23</v>
      </c>
      <c r="U135" s="13" t="s">
        <v>23</v>
      </c>
    </row>
    <row r="136">
      <c r="A136" s="9" t="str">
        <f>HYPERLINK("https://docs.google.com/spreadsheets/d/1X-5lK1sJCBpvE08rC1VdSsGvayqyrC62cK7W45Q4XX8/edit?usp=sharing","Tina Wesson")</f>
        <v>Tina Wesson</v>
      </c>
      <c r="B136" s="10">
        <v>27.0</v>
      </c>
      <c r="C136" s="10">
        <v>25.0</v>
      </c>
      <c r="D136" s="10">
        <v>14.0</v>
      </c>
      <c r="E136" s="11">
        <v>1.79</v>
      </c>
      <c r="F136" s="12">
        <v>0.0577</v>
      </c>
      <c r="G136" s="10">
        <v>38.0</v>
      </c>
      <c r="H136" s="10">
        <v>5.0</v>
      </c>
      <c r="I136" s="10" t="s">
        <v>9</v>
      </c>
      <c r="J136" s="10" t="s">
        <v>40</v>
      </c>
      <c r="K136" s="10" t="s">
        <v>55</v>
      </c>
      <c r="L136" s="13">
        <v>5.0</v>
      </c>
      <c r="M136" s="13">
        <v>4.0</v>
      </c>
      <c r="N136" s="13" t="s">
        <v>23</v>
      </c>
      <c r="O136" s="13">
        <v>8.0</v>
      </c>
      <c r="P136" s="13" t="s">
        <v>23</v>
      </c>
      <c r="Q136" s="13">
        <v>1.0</v>
      </c>
      <c r="R136" s="13"/>
      <c r="S136" s="10" t="s">
        <v>23</v>
      </c>
      <c r="T136" s="10"/>
      <c r="U136" s="10" t="s">
        <v>23</v>
      </c>
    </row>
    <row r="137">
      <c r="A137" s="15" t="str">
        <f>HYPERLINK("https://docs.google.com/spreadsheets/d/1yi_HtvN4TS5uRWCCFJg5RFaoouiIIe8CAtY_XnqP6iM/edit?usp=sharing","Scout Cloud Lee")</f>
        <v>Scout Cloud Lee</v>
      </c>
      <c r="B137" s="13">
        <v>9.0</v>
      </c>
      <c r="C137" s="13">
        <v>25.0</v>
      </c>
      <c r="D137" s="13">
        <v>14.0</v>
      </c>
      <c r="E137" s="16">
        <v>1.79</v>
      </c>
      <c r="F137" s="17">
        <v>0.0597</v>
      </c>
      <c r="G137" s="13">
        <v>38.0</v>
      </c>
      <c r="H137" s="13">
        <v>3.0</v>
      </c>
      <c r="I137" s="13" t="s">
        <v>9</v>
      </c>
      <c r="J137" s="13" t="s">
        <v>24</v>
      </c>
      <c r="K137" s="13" t="s">
        <v>34</v>
      </c>
      <c r="L137" s="13">
        <v>5.0</v>
      </c>
      <c r="M137" s="13">
        <v>3.0</v>
      </c>
      <c r="N137" s="13" t="s">
        <v>23</v>
      </c>
      <c r="O137" s="13">
        <v>12.0</v>
      </c>
      <c r="P137" s="10" t="s">
        <v>23</v>
      </c>
      <c r="Q137" s="10" t="s">
        <v>23</v>
      </c>
      <c r="R137" s="10"/>
      <c r="S137" s="10" t="s">
        <v>23</v>
      </c>
      <c r="T137" s="10"/>
      <c r="U137" s="10" t="s">
        <v>23</v>
      </c>
    </row>
    <row r="138">
      <c r="A138" s="15" t="str">
        <f>HYPERLINK("https://docs.google.com/spreadsheets/d/1yi_HtvN4TS5uRWCCFJg5RFaoouiIIe8CAtY_XnqP6iM/edit?usp=sharing","Julie Berry")</f>
        <v>Julie Berry</v>
      </c>
      <c r="B138" s="13">
        <v>9.0</v>
      </c>
      <c r="C138" s="13">
        <v>25.0</v>
      </c>
      <c r="D138" s="13">
        <v>13.0</v>
      </c>
      <c r="E138" s="16">
        <v>1.92</v>
      </c>
      <c r="F138" s="17">
        <v>0.0597</v>
      </c>
      <c r="G138" s="13">
        <v>36.0</v>
      </c>
      <c r="H138" s="13">
        <v>3.0</v>
      </c>
      <c r="I138" s="13" t="s">
        <v>9</v>
      </c>
      <c r="J138" s="13" t="s">
        <v>46</v>
      </c>
      <c r="K138" s="13" t="s">
        <v>104</v>
      </c>
      <c r="L138" s="13">
        <v>8.0</v>
      </c>
      <c r="M138" s="13">
        <v>4.0</v>
      </c>
      <c r="N138" s="13" t="s">
        <v>23</v>
      </c>
      <c r="O138" s="13">
        <v>9.0</v>
      </c>
      <c r="P138" s="10" t="s">
        <v>23</v>
      </c>
      <c r="Q138" s="10" t="s">
        <v>23</v>
      </c>
      <c r="R138" s="10"/>
      <c r="S138" s="10" t="s">
        <v>23</v>
      </c>
      <c r="T138" s="10"/>
      <c r="U138" s="10" t="s">
        <v>23</v>
      </c>
    </row>
    <row r="139">
      <c r="A139" s="9" t="str">
        <f>HYPERLINK("https://docs.google.com/spreadsheets/d/1OvIOVR4AMBMcafVt9o6KEur-eEFhew1kw_KUv3DV3Xs/edit?usp=sharing","Jim Rice")</f>
        <v>Jim Rice</v>
      </c>
      <c r="B139" s="10">
        <v>23.0</v>
      </c>
      <c r="C139" s="10">
        <v>25.0</v>
      </c>
      <c r="D139" s="10">
        <v>10.0</v>
      </c>
      <c r="E139" s="11">
        <v>2.5</v>
      </c>
      <c r="F139" s="12">
        <v>0.0623</v>
      </c>
      <c r="G139" s="10">
        <v>25.0</v>
      </c>
      <c r="H139" s="10" t="s">
        <v>23</v>
      </c>
      <c r="I139" s="10" t="s">
        <v>9</v>
      </c>
      <c r="J139" s="10" t="s">
        <v>84</v>
      </c>
      <c r="K139" s="10" t="s">
        <v>105</v>
      </c>
      <c r="L139" s="13">
        <v>5.0</v>
      </c>
      <c r="M139" s="13">
        <v>3.0</v>
      </c>
      <c r="N139" s="13">
        <v>1.0</v>
      </c>
      <c r="O139" s="13">
        <v>7.0</v>
      </c>
      <c r="P139" s="13" t="s">
        <v>23</v>
      </c>
      <c r="Q139" s="13">
        <v>1.0</v>
      </c>
      <c r="R139" s="13"/>
      <c r="S139" s="10" t="s">
        <v>23</v>
      </c>
      <c r="T139" s="10"/>
      <c r="U139" s="10" t="s">
        <v>23</v>
      </c>
    </row>
    <row r="140">
      <c r="A140" s="9" t="str">
        <f>HYPERLINK("https://docs.google.com/spreadsheets/d/1LR80O0PvsOvoTuN5gHQd3Rls4b1rZmJd7EZ_DR2oRHs/edit?usp=sharing","Eddie Fox")</f>
        <v>Eddie Fox</v>
      </c>
      <c r="B140" s="10">
        <v>26.0</v>
      </c>
      <c r="C140" s="10">
        <v>25.0</v>
      </c>
      <c r="D140" s="10">
        <v>14.0</v>
      </c>
      <c r="E140" s="11">
        <v>1.79</v>
      </c>
      <c r="F140" s="12">
        <v>0.0605</v>
      </c>
      <c r="G140" s="10">
        <v>38.0</v>
      </c>
      <c r="H140" s="10">
        <v>3.0</v>
      </c>
      <c r="I140" s="10" t="s">
        <v>9</v>
      </c>
      <c r="J140" s="10" t="s">
        <v>40</v>
      </c>
      <c r="K140" s="10" t="s">
        <v>55</v>
      </c>
      <c r="L140" s="13">
        <v>5.0</v>
      </c>
      <c r="M140" s="13">
        <v>4.0</v>
      </c>
      <c r="N140" s="13" t="s">
        <v>23</v>
      </c>
      <c r="O140" s="13">
        <v>11.0</v>
      </c>
      <c r="P140" s="10" t="s">
        <v>23</v>
      </c>
      <c r="Q140" s="10" t="s">
        <v>23</v>
      </c>
      <c r="R140" s="10"/>
      <c r="S140" s="10" t="s">
        <v>23</v>
      </c>
      <c r="T140" s="10"/>
      <c r="U140" s="10" t="s">
        <v>23</v>
      </c>
    </row>
    <row r="141">
      <c r="A141" s="15" t="str">
        <f>HYPERLINK("https://docs.google.com/spreadsheets/d/1ZajpFwOHrMmupCcACeLhLTzPOwhTrjKRR1FJtUgeLww/edit?usp=sharing","Bret LaBelle")</f>
        <v>Bret LaBelle</v>
      </c>
      <c r="B141" s="13">
        <v>33.0</v>
      </c>
      <c r="C141" s="13">
        <v>25.0</v>
      </c>
      <c r="D141" s="13">
        <v>14.0</v>
      </c>
      <c r="E141" s="16">
        <v>1.79</v>
      </c>
      <c r="F141" s="17">
        <v>0.0575</v>
      </c>
      <c r="G141" s="13">
        <v>37.0</v>
      </c>
      <c r="H141" s="13">
        <v>4.0</v>
      </c>
      <c r="I141" s="13" t="s">
        <v>9</v>
      </c>
      <c r="J141" s="13" t="s">
        <v>45</v>
      </c>
      <c r="K141" s="13" t="s">
        <v>67</v>
      </c>
      <c r="L141" s="13">
        <v>8.0</v>
      </c>
      <c r="M141" s="13">
        <v>3.0</v>
      </c>
      <c r="N141" s="13" t="s">
        <v>23</v>
      </c>
      <c r="O141" s="13">
        <v>13.0</v>
      </c>
      <c r="P141" s="13" t="s">
        <v>23</v>
      </c>
      <c r="Q141" s="13" t="s">
        <v>23</v>
      </c>
      <c r="R141" s="13"/>
      <c r="S141" s="13" t="s">
        <v>23</v>
      </c>
      <c r="T141" s="13" t="s">
        <v>23</v>
      </c>
      <c r="U141" s="13" t="s">
        <v>23</v>
      </c>
    </row>
    <row r="142">
      <c r="A142" s="9" t="str">
        <f>HYPERLINK("https://docs.google.com/spreadsheets/d/1LR80O0PvsOvoTuN5gHQd3Rls4b1rZmJd7EZ_DR2oRHs/edit?usp=sharing","Andrea Boehlke")</f>
        <v>Andrea Boehlke</v>
      </c>
      <c r="B142" s="10">
        <v>26.0</v>
      </c>
      <c r="C142" s="10">
        <v>25.0</v>
      </c>
      <c r="D142" s="10">
        <v>12.0</v>
      </c>
      <c r="E142" s="11">
        <v>2.08</v>
      </c>
      <c r="F142" s="12">
        <v>0.0605</v>
      </c>
      <c r="G142" s="10">
        <v>33.0</v>
      </c>
      <c r="H142" s="10">
        <v>1.0</v>
      </c>
      <c r="I142" s="10" t="s">
        <v>9</v>
      </c>
      <c r="J142" s="10" t="s">
        <v>46</v>
      </c>
      <c r="K142" s="10" t="s">
        <v>44</v>
      </c>
      <c r="L142" s="13">
        <v>9.0</v>
      </c>
      <c r="M142" s="13">
        <v>5.0</v>
      </c>
      <c r="N142" s="13">
        <v>1.0</v>
      </c>
      <c r="O142" s="13">
        <v>8.0</v>
      </c>
      <c r="P142" s="10" t="s">
        <v>23</v>
      </c>
      <c r="Q142" s="10" t="s">
        <v>23</v>
      </c>
      <c r="R142" s="10"/>
      <c r="S142" s="10">
        <v>1.0</v>
      </c>
      <c r="T142" s="10"/>
      <c r="U142" s="10" t="s">
        <v>23</v>
      </c>
    </row>
    <row r="143">
      <c r="A143" s="15" t="str">
        <f>HYPERLINK("https://docs.google.com/spreadsheets/d/1tElnwN2HVf964gGw8Ei53RyfjarS40wkDY3zivAPWp0/edit?usp=sharing","Michaela Bradshaw")</f>
        <v>Michaela Bradshaw</v>
      </c>
      <c r="B143" s="13">
        <v>34.0</v>
      </c>
      <c r="C143" s="13">
        <v>24.0</v>
      </c>
      <c r="D143" s="13">
        <v>13.0</v>
      </c>
      <c r="E143" s="16">
        <v>1.85</v>
      </c>
      <c r="F143" s="17">
        <v>0.0583</v>
      </c>
      <c r="G143" s="13">
        <v>35.0</v>
      </c>
      <c r="H143" s="13">
        <v>4.0</v>
      </c>
      <c r="I143" s="13" t="s">
        <v>9</v>
      </c>
      <c r="J143" s="13" t="s">
        <v>24</v>
      </c>
      <c r="K143" s="13" t="s">
        <v>44</v>
      </c>
      <c r="L143" s="13">
        <v>4.0</v>
      </c>
      <c r="M143" s="13">
        <v>3.0</v>
      </c>
      <c r="N143" s="13" t="s">
        <v>23</v>
      </c>
      <c r="O143" s="13">
        <v>11.0</v>
      </c>
      <c r="P143" s="13" t="s">
        <v>23</v>
      </c>
      <c r="Q143" s="13" t="s">
        <v>23</v>
      </c>
      <c r="R143" s="13"/>
      <c r="S143" s="13" t="s">
        <v>23</v>
      </c>
      <c r="T143" s="13" t="s">
        <v>23</v>
      </c>
      <c r="U143" s="13" t="s">
        <v>23</v>
      </c>
    </row>
    <row r="144">
      <c r="A144" s="15" t="str">
        <f>HYPERLINK("https://docs.google.com/spreadsheets/d/1d8Hzm_QCJnDef8NF_dVYBZLjLjFI3Fl8Yt14m8Zhn8Y/edit?usp=sharing","Caryn Groedel")</f>
        <v>Caryn Groedel</v>
      </c>
      <c r="B144" s="13">
        <v>10.0</v>
      </c>
      <c r="C144" s="13">
        <v>24.0</v>
      </c>
      <c r="D144" s="13">
        <v>13.0</v>
      </c>
      <c r="E144" s="16">
        <v>1.85</v>
      </c>
      <c r="F144" s="17">
        <v>0.0562</v>
      </c>
      <c r="G144" s="13">
        <v>36.0</v>
      </c>
      <c r="H144" s="13">
        <v>3.0</v>
      </c>
      <c r="I144" s="13" t="s">
        <v>42</v>
      </c>
      <c r="J144" s="13" t="s">
        <v>46</v>
      </c>
      <c r="K144" s="13" t="s">
        <v>67</v>
      </c>
      <c r="L144" s="13">
        <v>8.0</v>
      </c>
      <c r="M144" s="13">
        <v>7.0</v>
      </c>
      <c r="N144" s="13" t="s">
        <v>23</v>
      </c>
      <c r="O144" s="13">
        <v>6.0</v>
      </c>
      <c r="P144" s="13" t="s">
        <v>23</v>
      </c>
      <c r="Q144" s="13" t="s">
        <v>23</v>
      </c>
      <c r="R144" s="13"/>
      <c r="S144" s="13" t="s">
        <v>23</v>
      </c>
      <c r="T144" s="13" t="s">
        <v>23</v>
      </c>
      <c r="U144" s="13" t="s">
        <v>23</v>
      </c>
    </row>
    <row r="145">
      <c r="A145" s="9" t="str">
        <f>HYPERLINK("https://docs.google.com/spreadsheets/d/1CcEdjXKuhm6HmXecNbnscxpFab1HRQEjKSDga6QxqAU/edit?usp=sharing","Andrea Boehlke")</f>
        <v>Andrea Boehlke</v>
      </c>
      <c r="B145" s="10">
        <v>22.0</v>
      </c>
      <c r="C145" s="10">
        <v>24.0</v>
      </c>
      <c r="D145" s="10">
        <v>14.0</v>
      </c>
      <c r="E145" s="11">
        <v>1.71</v>
      </c>
      <c r="F145" s="12">
        <v>0.0566</v>
      </c>
      <c r="G145" s="10">
        <v>37.0</v>
      </c>
      <c r="H145" s="10">
        <v>4.0</v>
      </c>
      <c r="I145" s="10" t="s">
        <v>9</v>
      </c>
      <c r="J145" s="10" t="s">
        <v>40</v>
      </c>
      <c r="K145" s="10" t="s">
        <v>70</v>
      </c>
      <c r="L145" s="13">
        <v>7.0</v>
      </c>
      <c r="M145" s="13">
        <v>4.0</v>
      </c>
      <c r="N145" s="13">
        <v>1.0</v>
      </c>
      <c r="O145" s="13">
        <v>11.0</v>
      </c>
      <c r="P145" s="13" t="s">
        <v>23</v>
      </c>
      <c r="Q145" s="13">
        <v>1.0</v>
      </c>
      <c r="R145" s="13"/>
      <c r="S145" s="10" t="s">
        <v>23</v>
      </c>
      <c r="T145" s="10"/>
      <c r="U145" s="10" t="s">
        <v>23</v>
      </c>
    </row>
    <row r="146">
      <c r="A146" s="15" t="str">
        <f>HYPERLINK("https://docs.google.com/spreadsheets/d/1ZajpFwOHrMmupCcACeLhLTzPOwhTrjKRR1FJtUgeLww/edit?usp=sharing","Taylor Lee Stocker")</f>
        <v>Taylor Lee Stocker</v>
      </c>
      <c r="B146" s="13">
        <v>33.0</v>
      </c>
      <c r="C146" s="13">
        <v>23.0</v>
      </c>
      <c r="D146" s="13">
        <v>9.0</v>
      </c>
      <c r="E146" s="16">
        <v>2.56</v>
      </c>
      <c r="F146" s="17">
        <v>0.0529</v>
      </c>
      <c r="G146" s="13">
        <v>25.0</v>
      </c>
      <c r="H146" s="13">
        <v>1.0</v>
      </c>
      <c r="I146" s="13" t="s">
        <v>9</v>
      </c>
      <c r="J146" s="13" t="s">
        <v>48</v>
      </c>
      <c r="K146" s="13" t="s">
        <v>82</v>
      </c>
      <c r="L146" s="13">
        <v>4.0</v>
      </c>
      <c r="M146" s="13">
        <v>5.0</v>
      </c>
      <c r="N146" s="13" t="s">
        <v>23</v>
      </c>
      <c r="O146" s="13">
        <v>4.0</v>
      </c>
      <c r="P146" s="13" t="s">
        <v>23</v>
      </c>
      <c r="Q146" s="13" t="s">
        <v>23</v>
      </c>
      <c r="R146" s="13"/>
      <c r="S146" s="13" t="s">
        <v>23</v>
      </c>
      <c r="T146" s="13" t="s">
        <v>23</v>
      </c>
      <c r="U146" s="13" t="s">
        <v>23</v>
      </c>
    </row>
    <row r="147">
      <c r="A147" s="9" t="str">
        <f>HYPERLINK("https://docs.google.com/spreadsheets/d/1CcEdjXKuhm6HmXecNbnscxpFab1HRQEjKSDga6QxqAU/edit?usp=sharing","Steve Wright")</f>
        <v>Steve Wright</v>
      </c>
      <c r="B147" s="10">
        <v>22.0</v>
      </c>
      <c r="C147" s="10">
        <v>23.0</v>
      </c>
      <c r="D147" s="10">
        <v>12.0</v>
      </c>
      <c r="E147" s="11">
        <v>1.92</v>
      </c>
      <c r="F147" s="12">
        <v>0.0542</v>
      </c>
      <c r="G147" s="10">
        <v>31.0</v>
      </c>
      <c r="H147" s="10">
        <v>4.0</v>
      </c>
      <c r="I147" s="10" t="s">
        <v>9</v>
      </c>
      <c r="J147" s="10" t="s">
        <v>43</v>
      </c>
      <c r="K147" s="10" t="s">
        <v>68</v>
      </c>
      <c r="L147" s="13">
        <v>4.0</v>
      </c>
      <c r="M147" s="13">
        <v>3.0</v>
      </c>
      <c r="N147" s="13" t="s">
        <v>23</v>
      </c>
      <c r="O147" s="13">
        <v>10.0</v>
      </c>
      <c r="P147" s="13" t="s">
        <v>23</v>
      </c>
      <c r="Q147" s="13">
        <v>1.0</v>
      </c>
      <c r="R147" s="13"/>
      <c r="S147" s="10" t="s">
        <v>23</v>
      </c>
      <c r="T147" s="10"/>
      <c r="U147" s="10" t="s">
        <v>23</v>
      </c>
    </row>
    <row r="148">
      <c r="A148" s="15" t="str">
        <f>HYPERLINK("https://docs.google.com/spreadsheets/d/1tElnwN2HVf964gGw8Ei53RyfjarS40wkDY3zivAPWp0/edit?usp=sharing","Sierra Thomas")</f>
        <v>Sierra Thomas</v>
      </c>
      <c r="B148" s="13">
        <v>34.0</v>
      </c>
      <c r="C148" s="13">
        <v>23.0</v>
      </c>
      <c r="D148" s="13">
        <v>12.0</v>
      </c>
      <c r="E148" s="16">
        <v>1.92</v>
      </c>
      <c r="F148" s="17">
        <v>0.0558</v>
      </c>
      <c r="G148" s="13">
        <v>32.0</v>
      </c>
      <c r="H148" s="13">
        <v>3.0</v>
      </c>
      <c r="I148" s="13" t="s">
        <v>9</v>
      </c>
      <c r="J148" s="13" t="s">
        <v>46</v>
      </c>
      <c r="K148" s="13" t="s">
        <v>63</v>
      </c>
      <c r="L148" s="13">
        <v>5.0</v>
      </c>
      <c r="M148" s="13">
        <v>5.0</v>
      </c>
      <c r="N148" s="13" t="s">
        <v>23</v>
      </c>
      <c r="O148" s="13">
        <v>7.0</v>
      </c>
      <c r="P148" s="13" t="s">
        <v>23</v>
      </c>
      <c r="Q148" s="13" t="s">
        <v>23</v>
      </c>
      <c r="R148" s="13"/>
      <c r="S148" s="13" t="s">
        <v>23</v>
      </c>
      <c r="T148" s="13">
        <v>1.0</v>
      </c>
      <c r="U148" s="13" t="s">
        <v>23</v>
      </c>
    </row>
    <row r="149">
      <c r="A149" s="19" t="str">
        <f>HYPERLINK("https://docs.google.com/spreadsheets/d/1TniiK35-AGMNddj9lkge_tT9QfOGXMfX2thnTv8npTo/edit?usp=sharing","Penny Ramsey")</f>
        <v>Penny Ramsey</v>
      </c>
      <c r="B149" s="20">
        <v>5.0</v>
      </c>
      <c r="C149" s="21">
        <v>23.0</v>
      </c>
      <c r="D149" s="20">
        <v>10.0</v>
      </c>
      <c r="E149" s="22">
        <v>2.3</v>
      </c>
      <c r="F149" s="14">
        <v>0.0476</v>
      </c>
      <c r="G149" s="21">
        <v>30.0</v>
      </c>
      <c r="H149" s="21">
        <v>1.0</v>
      </c>
      <c r="I149" s="10" t="s">
        <v>9</v>
      </c>
      <c r="J149" s="21" t="s">
        <v>43</v>
      </c>
      <c r="K149" s="20" t="s">
        <v>57</v>
      </c>
      <c r="L149" s="13">
        <v>5.0</v>
      </c>
      <c r="M149" s="13">
        <v>3.0</v>
      </c>
      <c r="N149" s="13" t="s">
        <v>23</v>
      </c>
      <c r="O149" s="13">
        <v>7.0</v>
      </c>
      <c r="P149" s="10" t="s">
        <v>23</v>
      </c>
      <c r="Q149" s="10" t="s">
        <v>23</v>
      </c>
      <c r="R149" s="10"/>
      <c r="S149" s="10" t="s">
        <v>23</v>
      </c>
      <c r="T149" s="10"/>
      <c r="U149" s="10" t="s">
        <v>23</v>
      </c>
    </row>
    <row r="150">
      <c r="A150" s="9" t="str">
        <f>HYPERLINK("https://docs.google.com/spreadsheets/d/1y7awzkkkaNlh7XKjc44AGriTvqB9H3pVz8cFLyIYdbo/edit?usp=sharing","LJ McKanas")</f>
        <v>LJ McKanas</v>
      </c>
      <c r="B150" s="10">
        <v>28.0</v>
      </c>
      <c r="C150" s="10">
        <v>23.0</v>
      </c>
      <c r="D150" s="10">
        <v>9.0</v>
      </c>
      <c r="E150" s="11">
        <v>2.56</v>
      </c>
      <c r="F150" s="12">
        <v>0.0501</v>
      </c>
      <c r="G150" s="10">
        <v>25.0</v>
      </c>
      <c r="H150" s="10">
        <v>2.0</v>
      </c>
      <c r="I150" s="10" t="s">
        <v>9</v>
      </c>
      <c r="J150" s="10" t="s">
        <v>43</v>
      </c>
      <c r="K150" s="10" t="s">
        <v>83</v>
      </c>
      <c r="L150" s="13">
        <v>7.0</v>
      </c>
      <c r="M150" s="13">
        <v>4.0</v>
      </c>
      <c r="N150" s="13" t="s">
        <v>23</v>
      </c>
      <c r="O150" s="13">
        <v>5.0</v>
      </c>
      <c r="P150" s="10" t="s">
        <v>23</v>
      </c>
      <c r="Q150" s="10" t="s">
        <v>23</v>
      </c>
      <c r="R150" s="10"/>
      <c r="S150" s="10">
        <v>1.0</v>
      </c>
      <c r="T150" s="10"/>
      <c r="U150" s="10" t="s">
        <v>23</v>
      </c>
    </row>
    <row r="151">
      <c r="A151" s="9" t="str">
        <f>HYPERLINK("https://docs.google.com/spreadsheets/d/1EZNO7rY3X3GsqJDX9iY8RpZJJDJ-K4nm_Mxm1g397N0/edit?usp=sharing","Kelly Goldsmith")</f>
        <v>Kelly Goldsmith</v>
      </c>
      <c r="B151" s="10">
        <v>3.0</v>
      </c>
      <c r="C151" s="10">
        <v>23.0</v>
      </c>
      <c r="D151" s="10">
        <v>8.0</v>
      </c>
      <c r="E151" s="11">
        <v>2.88</v>
      </c>
      <c r="F151" s="12">
        <v>0.046</v>
      </c>
      <c r="G151" s="10">
        <v>24.0</v>
      </c>
      <c r="H151" s="10">
        <v>2.0</v>
      </c>
      <c r="I151" s="10" t="s">
        <v>9</v>
      </c>
      <c r="J151" s="10" t="s">
        <v>84</v>
      </c>
      <c r="K151" s="10" t="s">
        <v>87</v>
      </c>
      <c r="L151" s="13">
        <v>3.0</v>
      </c>
      <c r="M151" s="13">
        <v>3.0</v>
      </c>
      <c r="N151" s="13" t="s">
        <v>23</v>
      </c>
      <c r="O151" s="13">
        <v>5.0</v>
      </c>
      <c r="P151" s="10" t="s">
        <v>23</v>
      </c>
      <c r="Q151" s="10" t="s">
        <v>23</v>
      </c>
      <c r="R151" s="10"/>
      <c r="S151" s="10" t="s">
        <v>23</v>
      </c>
      <c r="T151" s="10"/>
      <c r="U151" s="10" t="s">
        <v>23</v>
      </c>
    </row>
    <row r="152">
      <c r="A152" s="9" t="str">
        <f>HYPERLINK("https://docs.google.com/spreadsheets/d/1OvIOVR4AMBMcafVt9o6KEur-eEFhew1kw_KUv3DV3Xs/edit?usp=sharing","Dawn Meehan")</f>
        <v>Dawn Meehan</v>
      </c>
      <c r="B152" s="10">
        <v>23.0</v>
      </c>
      <c r="C152" s="10">
        <v>23.0</v>
      </c>
      <c r="D152" s="10">
        <v>11.0</v>
      </c>
      <c r="E152" s="11">
        <v>2.09</v>
      </c>
      <c r="F152" s="12">
        <v>0.0574</v>
      </c>
      <c r="G152" s="10">
        <v>28.0</v>
      </c>
      <c r="H152" s="10">
        <v>4.0</v>
      </c>
      <c r="I152" s="10" t="s">
        <v>9</v>
      </c>
      <c r="J152" s="10" t="s">
        <v>43</v>
      </c>
      <c r="K152" s="10" t="s">
        <v>68</v>
      </c>
      <c r="L152" s="13">
        <v>5.0</v>
      </c>
      <c r="M152" s="13">
        <v>3.0</v>
      </c>
      <c r="N152" s="13">
        <v>1.0</v>
      </c>
      <c r="O152" s="13">
        <v>8.0</v>
      </c>
      <c r="P152" s="13" t="s">
        <v>23</v>
      </c>
      <c r="Q152" s="13">
        <v>1.0</v>
      </c>
      <c r="R152" s="13"/>
      <c r="S152" s="10" t="s">
        <v>23</v>
      </c>
      <c r="T152" s="10"/>
      <c r="U152" s="10" t="s">
        <v>23</v>
      </c>
    </row>
    <row r="153">
      <c r="A153" s="15" t="str">
        <f>HYPERLINK("https://docs.google.com/spreadsheets/d/1VEbyebFdBtPJKQC_U2uGrW6_v1fn6Hsoz3YYLyCxHR0/edit?usp=sharing","Courtney Marit")</f>
        <v>Courtney Marit</v>
      </c>
      <c r="B153" s="13">
        <v>12.0</v>
      </c>
      <c r="C153" s="13">
        <v>23.0</v>
      </c>
      <c r="D153" s="13">
        <v>11.0</v>
      </c>
      <c r="E153" s="16">
        <v>2.09</v>
      </c>
      <c r="F153" s="17">
        <v>0.0273</v>
      </c>
      <c r="G153" s="13">
        <v>30.0</v>
      </c>
      <c r="H153" s="13">
        <v>2.0</v>
      </c>
      <c r="I153" s="13" t="s">
        <v>9</v>
      </c>
      <c r="J153" s="13" t="s">
        <v>58</v>
      </c>
      <c r="K153" s="13" t="s">
        <v>59</v>
      </c>
      <c r="L153" s="13">
        <v>6.0</v>
      </c>
      <c r="M153" s="13">
        <v>4.0</v>
      </c>
      <c r="N153" s="13" t="s">
        <v>23</v>
      </c>
      <c r="O153" s="13">
        <v>6.0</v>
      </c>
      <c r="P153" s="13" t="s">
        <v>23</v>
      </c>
      <c r="Q153" s="13" t="s">
        <v>23</v>
      </c>
      <c r="R153" s="13"/>
      <c r="S153" s="13" t="s">
        <v>23</v>
      </c>
      <c r="T153" s="13" t="s">
        <v>23</v>
      </c>
      <c r="U153" s="13" t="s">
        <v>23</v>
      </c>
    </row>
    <row r="154">
      <c r="A154" s="15" t="str">
        <f>HYPERLINK("https://docs.google.com/spreadsheets/d/1d8Hzm_QCJnDef8NF_dVYBZLjLjFI3Fl8Yt14m8Zhn8Y/edit?usp=sharing","Coby Archa")</f>
        <v>Coby Archa</v>
      </c>
      <c r="B154" s="13">
        <v>10.0</v>
      </c>
      <c r="C154" s="13">
        <v>23.0</v>
      </c>
      <c r="D154" s="13">
        <v>9.0</v>
      </c>
      <c r="E154" s="16">
        <v>2.56</v>
      </c>
      <c r="F154" s="17">
        <v>0.0539</v>
      </c>
      <c r="G154" s="13">
        <v>24.0</v>
      </c>
      <c r="H154" s="13">
        <v>1.0</v>
      </c>
      <c r="I154" s="13" t="s">
        <v>42</v>
      </c>
      <c r="J154" s="13" t="s">
        <v>84</v>
      </c>
      <c r="K154" s="13" t="s">
        <v>63</v>
      </c>
      <c r="L154" s="13">
        <v>6.0</v>
      </c>
      <c r="M154" s="13">
        <v>7.0</v>
      </c>
      <c r="N154" s="13" t="s">
        <v>23</v>
      </c>
      <c r="O154" s="13">
        <v>2.0</v>
      </c>
      <c r="P154" s="13" t="s">
        <v>23</v>
      </c>
      <c r="Q154" s="13" t="s">
        <v>23</v>
      </c>
      <c r="R154" s="13"/>
      <c r="S154" s="13" t="s">
        <v>23</v>
      </c>
      <c r="T154" s="13" t="s">
        <v>23</v>
      </c>
      <c r="U154" s="13" t="s">
        <v>23</v>
      </c>
    </row>
    <row r="155">
      <c r="A155" s="9" t="str">
        <f>HYPERLINK("https://docs.google.com/spreadsheets/d/1CcEdjXKuhm6HmXecNbnscxpFab1HRQEjKSDga6QxqAU/edit?usp=sharing","Ashley Underwood")</f>
        <v>Ashley Underwood</v>
      </c>
      <c r="B155" s="10">
        <v>22.0</v>
      </c>
      <c r="C155" s="10">
        <v>23.0</v>
      </c>
      <c r="D155" s="10">
        <v>14.0</v>
      </c>
      <c r="E155" s="11">
        <v>1.64</v>
      </c>
      <c r="F155" s="12">
        <v>0.0542</v>
      </c>
      <c r="G155" s="10">
        <v>38.0</v>
      </c>
      <c r="H155" s="10">
        <v>5.0</v>
      </c>
      <c r="I155" s="10" t="s">
        <v>9</v>
      </c>
      <c r="J155" s="10" t="s">
        <v>45</v>
      </c>
      <c r="K155" s="10" t="s">
        <v>41</v>
      </c>
      <c r="L155" s="13">
        <v>7.0</v>
      </c>
      <c r="M155" s="13">
        <v>4.0</v>
      </c>
      <c r="N155" s="13">
        <v>2.0</v>
      </c>
      <c r="O155" s="13">
        <v>13.0</v>
      </c>
      <c r="P155" s="13" t="s">
        <v>23</v>
      </c>
      <c r="Q155" s="13" t="s">
        <v>23</v>
      </c>
      <c r="R155" s="13"/>
      <c r="S155" s="10" t="s">
        <v>23</v>
      </c>
      <c r="T155" s="10"/>
      <c r="U155" s="10" t="s">
        <v>23</v>
      </c>
    </row>
    <row r="156">
      <c r="A156" s="9" t="str">
        <f>HYPERLINK("https://docs.google.com/spreadsheets/d/18wmIvmUS3SeZNSPQeUzr6sPl9GBYpVSlOaFR_kJCmKo/edit?usp=sharing","Amber Brkich")</f>
        <v>Amber Brkich</v>
      </c>
      <c r="B156" s="10">
        <v>2.0</v>
      </c>
      <c r="C156" s="10">
        <v>23.0</v>
      </c>
      <c r="D156" s="10">
        <v>11.0</v>
      </c>
      <c r="E156" s="11">
        <v>2.09</v>
      </c>
      <c r="F156" s="12">
        <v>0.041</v>
      </c>
      <c r="G156" s="10">
        <v>33.0</v>
      </c>
      <c r="H156" s="10" t="s">
        <v>23</v>
      </c>
      <c r="I156" s="10" t="s">
        <v>9</v>
      </c>
      <c r="J156" s="10" t="s">
        <v>58</v>
      </c>
      <c r="K156" s="10" t="s">
        <v>59</v>
      </c>
      <c r="L156" s="13">
        <v>5.0</v>
      </c>
      <c r="M156" s="13">
        <v>2.0</v>
      </c>
      <c r="N156" s="13" t="s">
        <v>23</v>
      </c>
      <c r="O156" s="13">
        <v>8.0</v>
      </c>
      <c r="P156" s="10" t="s">
        <v>23</v>
      </c>
      <c r="Q156" s="10" t="s">
        <v>23</v>
      </c>
      <c r="R156" s="10"/>
      <c r="S156" s="10" t="s">
        <v>23</v>
      </c>
      <c r="T156" s="10"/>
      <c r="U156" s="10" t="s">
        <v>23</v>
      </c>
    </row>
    <row r="157">
      <c r="A157" s="9" t="str">
        <f>HYPERLINK("https://docs.google.com/spreadsheets/d/18wmIvmUS3SeZNSPQeUzr6sPl9GBYpVSlOaFR_kJCmKo/edit?usp=sharing","Alicia Calaway")</f>
        <v>Alicia Calaway</v>
      </c>
      <c r="B157" s="10">
        <v>2.0</v>
      </c>
      <c r="C157" s="10">
        <v>23.0</v>
      </c>
      <c r="D157" s="10">
        <v>8.0</v>
      </c>
      <c r="E157" s="11">
        <v>2.88</v>
      </c>
      <c r="F157" s="12">
        <v>0.041</v>
      </c>
      <c r="G157" s="10">
        <v>24.0</v>
      </c>
      <c r="H157" s="10" t="s">
        <v>23</v>
      </c>
      <c r="I157" s="10" t="s">
        <v>9</v>
      </c>
      <c r="J157" s="10" t="s">
        <v>84</v>
      </c>
      <c r="K157" s="10" t="s">
        <v>87</v>
      </c>
      <c r="L157" s="13">
        <v>3.0</v>
      </c>
      <c r="M157" s="13">
        <v>3.0</v>
      </c>
      <c r="N157" s="13" t="s">
        <v>23</v>
      </c>
      <c r="O157" s="13">
        <v>4.0</v>
      </c>
      <c r="P157" s="10" t="s">
        <v>23</v>
      </c>
      <c r="Q157" s="10" t="s">
        <v>23</v>
      </c>
      <c r="R157" s="10"/>
      <c r="S157" s="10" t="s">
        <v>23</v>
      </c>
      <c r="T157" s="10"/>
      <c r="U157" s="10" t="s">
        <v>23</v>
      </c>
    </row>
    <row r="158">
      <c r="A158" s="9" t="str">
        <f>HYPERLINK("https://docs.google.com/spreadsheets/d/1y7awzkkkaNlh7XKjc44AGriTvqB9H3pVz8cFLyIYdbo/edit?usp=sharing","Trish Hegarty")</f>
        <v>Trish Hegarty</v>
      </c>
      <c r="B158" s="10">
        <v>28.0</v>
      </c>
      <c r="C158" s="10">
        <v>22.0</v>
      </c>
      <c r="D158" s="10">
        <v>13.0</v>
      </c>
      <c r="E158" s="11">
        <v>1.69</v>
      </c>
      <c r="F158" s="12">
        <v>0.0479</v>
      </c>
      <c r="G158" s="10">
        <v>36.0</v>
      </c>
      <c r="H158" s="10">
        <v>3.0</v>
      </c>
      <c r="I158" s="10" t="s">
        <v>9</v>
      </c>
      <c r="J158" s="10" t="s">
        <v>24</v>
      </c>
      <c r="K158" s="10" t="s">
        <v>70</v>
      </c>
      <c r="L158" s="13">
        <v>9.0</v>
      </c>
      <c r="M158" s="13">
        <v>5.0</v>
      </c>
      <c r="N158" s="13" t="s">
        <v>23</v>
      </c>
      <c r="O158" s="13">
        <v>8.0</v>
      </c>
      <c r="P158" s="10" t="s">
        <v>23</v>
      </c>
      <c r="Q158" s="10" t="s">
        <v>23</v>
      </c>
      <c r="R158" s="10"/>
      <c r="S158" s="10" t="s">
        <v>23</v>
      </c>
      <c r="T158" s="10"/>
      <c r="U158" s="10" t="s">
        <v>23</v>
      </c>
    </row>
    <row r="159">
      <c r="A159" s="9" t="str">
        <f>HYPERLINK("https://docs.google.com/spreadsheets/d/1iNFGyKFcJm-tPp7Dg94yi7mHCDbJssmAD_PiaDM_tAE/edit?usp=sharing","Reed Kelly")</f>
        <v>Reed Kelly</v>
      </c>
      <c r="B159" s="10">
        <v>29.0</v>
      </c>
      <c r="C159" s="10">
        <v>22.0</v>
      </c>
      <c r="D159" s="10">
        <v>11.0</v>
      </c>
      <c r="E159" s="11">
        <v>2.0</v>
      </c>
      <c r="F159" s="12">
        <v>0.0494</v>
      </c>
      <c r="G159" s="10">
        <v>29.0</v>
      </c>
      <c r="H159" s="10">
        <v>3.0</v>
      </c>
      <c r="I159" s="10" t="s">
        <v>9</v>
      </c>
      <c r="J159" s="10" t="s">
        <v>58</v>
      </c>
      <c r="K159" s="10" t="s">
        <v>47</v>
      </c>
      <c r="L159" s="23">
        <v>7.0</v>
      </c>
      <c r="M159" s="23">
        <v>5.0</v>
      </c>
      <c r="N159" s="23">
        <v>1.0</v>
      </c>
      <c r="O159" s="23">
        <v>5.0</v>
      </c>
      <c r="P159" s="23" t="s">
        <v>23</v>
      </c>
      <c r="Q159" s="23" t="s">
        <v>23</v>
      </c>
      <c r="R159" s="23"/>
      <c r="S159" s="13" t="s">
        <v>23</v>
      </c>
      <c r="T159" s="13"/>
      <c r="U159" s="10" t="s">
        <v>23</v>
      </c>
    </row>
    <row r="160">
      <c r="A160" s="15" t="str">
        <f>HYPERLINK("https://docs.google.com/spreadsheets/d/1yi_HtvN4TS5uRWCCFJg5RFaoouiIIe8CAtY_XnqP6iM/edit?usp=sharing","Leann Slaby")</f>
        <v>Leann Slaby</v>
      </c>
      <c r="B160" s="13">
        <v>9.0</v>
      </c>
      <c r="C160" s="13">
        <v>22.0</v>
      </c>
      <c r="D160" s="13">
        <v>11.0</v>
      </c>
      <c r="E160" s="16">
        <v>2.0</v>
      </c>
      <c r="F160" s="17">
        <v>0.0525</v>
      </c>
      <c r="G160" s="13">
        <v>30.0</v>
      </c>
      <c r="H160" s="13">
        <v>1.0</v>
      </c>
      <c r="I160" s="13" t="s">
        <v>9</v>
      </c>
      <c r="J160" s="13" t="s">
        <v>43</v>
      </c>
      <c r="K160" s="13" t="s">
        <v>66</v>
      </c>
      <c r="L160" s="13">
        <v>6.0</v>
      </c>
      <c r="M160" s="13">
        <v>3.0</v>
      </c>
      <c r="N160" s="13" t="s">
        <v>23</v>
      </c>
      <c r="O160" s="13">
        <v>8.0</v>
      </c>
      <c r="P160" s="10" t="s">
        <v>23</v>
      </c>
      <c r="Q160" s="10" t="s">
        <v>23</v>
      </c>
      <c r="R160" s="10"/>
      <c r="S160" s="10" t="s">
        <v>23</v>
      </c>
      <c r="T160" s="10"/>
      <c r="U160" s="10" t="s">
        <v>23</v>
      </c>
    </row>
    <row r="161">
      <c r="A161" s="15" t="str">
        <f>HYPERLINK("https://docs.google.com/spreadsheets/d/1ZajpFwOHrMmupCcACeLhLTzPOwhTrjKRR1FJtUgeLww/edit?usp=sharing","Chris Hammons")</f>
        <v>Chris Hammons</v>
      </c>
      <c r="B161" s="13">
        <v>33.0</v>
      </c>
      <c r="C161" s="13">
        <v>22.0</v>
      </c>
      <c r="D161" s="13">
        <v>10.0</v>
      </c>
      <c r="E161" s="16">
        <v>2.2</v>
      </c>
      <c r="F161" s="17">
        <v>0.0506</v>
      </c>
      <c r="G161" s="13">
        <v>28.0</v>
      </c>
      <c r="H161" s="13">
        <v>1.0</v>
      </c>
      <c r="I161" s="13" t="s">
        <v>9</v>
      </c>
      <c r="J161" s="13" t="s">
        <v>43</v>
      </c>
      <c r="K161" s="13" t="s">
        <v>69</v>
      </c>
      <c r="L161" s="13">
        <v>6.0</v>
      </c>
      <c r="M161" s="13">
        <v>3.0</v>
      </c>
      <c r="N161" s="13" t="s">
        <v>23</v>
      </c>
      <c r="O161" s="13">
        <v>7.0</v>
      </c>
      <c r="P161" s="13" t="s">
        <v>23</v>
      </c>
      <c r="Q161" s="13" t="s">
        <v>23</v>
      </c>
      <c r="R161" s="13"/>
      <c r="S161" s="13" t="s">
        <v>23</v>
      </c>
      <c r="T161" s="13" t="s">
        <v>23</v>
      </c>
      <c r="U161" s="13" t="s">
        <v>23</v>
      </c>
    </row>
    <row r="162">
      <c r="A162" s="18" t="s">
        <v>108</v>
      </c>
      <c r="B162" s="13">
        <v>40.0</v>
      </c>
      <c r="C162" s="13">
        <v>22.0</v>
      </c>
      <c r="D162" s="13">
        <v>15.0</v>
      </c>
      <c r="E162" s="16">
        <v>1.47</v>
      </c>
      <c r="F162" s="17">
        <v>0.0384</v>
      </c>
      <c r="G162" s="13" t="s">
        <v>109</v>
      </c>
      <c r="H162" s="13">
        <v>6.0</v>
      </c>
      <c r="I162" s="13" t="s">
        <v>42</v>
      </c>
      <c r="J162" s="13" t="s">
        <v>84</v>
      </c>
      <c r="K162" s="13" t="s">
        <v>110</v>
      </c>
      <c r="L162" s="13">
        <v>1.0</v>
      </c>
      <c r="M162" s="13">
        <v>1.0</v>
      </c>
      <c r="N162" s="13" t="s">
        <v>23</v>
      </c>
      <c r="O162" s="13">
        <v>1.0</v>
      </c>
      <c r="P162" s="13" t="s">
        <v>23</v>
      </c>
      <c r="Q162" s="13" t="s">
        <v>23</v>
      </c>
      <c r="R162" s="13">
        <v>1.0</v>
      </c>
      <c r="S162" s="13" t="s">
        <v>23</v>
      </c>
      <c r="T162" s="13" t="s">
        <v>23</v>
      </c>
      <c r="U162" s="13" t="s">
        <v>23</v>
      </c>
    </row>
    <row r="163">
      <c r="A163" s="9" t="str">
        <f>HYPERLINK("https://docs.google.com/spreadsheets/d/1HA0vQC0CSnQtVc8u58vwNd3sIFCc79SKVqM1abMG1hI/edit?usp=sharing","Sierra Thomas")</f>
        <v>Sierra Thomas</v>
      </c>
      <c r="B163" s="10">
        <v>30.0</v>
      </c>
      <c r="C163" s="10">
        <v>21.0</v>
      </c>
      <c r="D163" s="10">
        <v>14.0</v>
      </c>
      <c r="E163" s="11">
        <v>1.5</v>
      </c>
      <c r="F163" s="12">
        <v>0.046</v>
      </c>
      <c r="G163" s="10">
        <v>37.0</v>
      </c>
      <c r="H163" s="10">
        <v>3.0</v>
      </c>
      <c r="I163" s="10" t="s">
        <v>9</v>
      </c>
      <c r="J163" s="10" t="s">
        <v>24</v>
      </c>
      <c r="K163" s="10" t="s">
        <v>70</v>
      </c>
      <c r="L163" s="13">
        <v>8.0</v>
      </c>
      <c r="M163" s="13">
        <v>4.0</v>
      </c>
      <c r="N163" s="13" t="s">
        <v>23</v>
      </c>
      <c r="O163" s="13">
        <v>10.0</v>
      </c>
      <c r="P163" s="10" t="s">
        <v>23</v>
      </c>
      <c r="Q163" s="10" t="s">
        <v>23</v>
      </c>
      <c r="R163" s="10"/>
      <c r="S163" s="10" t="s">
        <v>23</v>
      </c>
      <c r="T163" s="10"/>
      <c r="U163" s="10" t="s">
        <v>23</v>
      </c>
    </row>
    <row r="164">
      <c r="A164" s="9" t="str">
        <f>HYPERLINK("https://docs.google.com/spreadsheets/d/1ReMaq-fM8zzflOjjrMrgnxEsdZxPIPIJqiZ9cCLO3cE/edit?usp=sharing","RC Saint-Amour")</f>
        <v>RC Saint-Amour</v>
      </c>
      <c r="B164" s="10">
        <v>25.0</v>
      </c>
      <c r="C164" s="10">
        <v>21.0</v>
      </c>
      <c r="D164" s="10">
        <v>7.0</v>
      </c>
      <c r="E164" s="11">
        <v>3.0</v>
      </c>
      <c r="F164" s="12">
        <v>0.0483</v>
      </c>
      <c r="G164" s="10">
        <v>19.0</v>
      </c>
      <c r="H164" s="10" t="s">
        <v>23</v>
      </c>
      <c r="I164" s="10" t="s">
        <v>9</v>
      </c>
      <c r="J164" s="10" t="s">
        <v>84</v>
      </c>
      <c r="K164" s="10" t="s">
        <v>85</v>
      </c>
      <c r="L164" s="13">
        <v>6.0</v>
      </c>
      <c r="M164" s="13">
        <v>6.0</v>
      </c>
      <c r="N164" s="13" t="s">
        <v>23</v>
      </c>
      <c r="O164" s="13">
        <v>1.0</v>
      </c>
      <c r="P164" s="10" t="s">
        <v>23</v>
      </c>
      <c r="Q164" s="10" t="s">
        <v>23</v>
      </c>
      <c r="R164" s="10"/>
      <c r="S164" s="10" t="s">
        <v>23</v>
      </c>
      <c r="T164" s="10"/>
      <c r="U164" s="10" t="s">
        <v>23</v>
      </c>
    </row>
    <row r="165">
      <c r="A165" s="9" t="str">
        <f>HYPERLINK("https://docs.google.com/spreadsheets/d/1ReMaq-fM8zzflOjjrMrgnxEsdZxPIPIJqiZ9cCLO3cE/edit?usp=sharing","Pete Yurkowski")</f>
        <v>Pete Yurkowski</v>
      </c>
      <c r="B165" s="10">
        <v>25.0</v>
      </c>
      <c r="C165" s="10">
        <v>21.0</v>
      </c>
      <c r="D165" s="10">
        <v>10.0</v>
      </c>
      <c r="E165" s="11">
        <v>2.1</v>
      </c>
      <c r="F165" s="12">
        <v>0.0483</v>
      </c>
      <c r="G165" s="10">
        <v>27.0</v>
      </c>
      <c r="H165" s="10">
        <v>1.0</v>
      </c>
      <c r="I165" s="10" t="s">
        <v>9</v>
      </c>
      <c r="J165" s="10" t="s">
        <v>58</v>
      </c>
      <c r="K165" s="10" t="s">
        <v>47</v>
      </c>
      <c r="L165" s="13">
        <v>7.0</v>
      </c>
      <c r="M165" s="13">
        <v>6.0</v>
      </c>
      <c r="N165" s="13" t="s">
        <v>23</v>
      </c>
      <c r="O165" s="13">
        <v>4.0</v>
      </c>
      <c r="P165" s="10" t="s">
        <v>23</v>
      </c>
      <c r="Q165" s="10" t="s">
        <v>23</v>
      </c>
      <c r="R165" s="10"/>
      <c r="S165" s="10" t="s">
        <v>23</v>
      </c>
      <c r="T165" s="10"/>
      <c r="U165" s="10" t="s">
        <v>23</v>
      </c>
    </row>
    <row r="166">
      <c r="A166" s="15" t="str">
        <f>HYPERLINK("https://docs.google.com/spreadsheets/d/1sWOJC8eB6rVdXdWiWMgfbfgw2325jIh1ODKxyaCmSGc/edit?usp=sharing","Lydia Morales")</f>
        <v>Lydia Morales</v>
      </c>
      <c r="B166" s="13">
        <v>11.0</v>
      </c>
      <c r="C166" s="13">
        <v>21.0</v>
      </c>
      <c r="D166" s="13">
        <v>14.0</v>
      </c>
      <c r="E166" s="16">
        <v>1.5</v>
      </c>
      <c r="F166" s="17">
        <v>0.0476</v>
      </c>
      <c r="G166" s="13">
        <v>37.0</v>
      </c>
      <c r="H166" s="13">
        <v>5.0</v>
      </c>
      <c r="I166" s="13" t="s">
        <v>9</v>
      </c>
      <c r="J166" s="13" t="s">
        <v>37</v>
      </c>
      <c r="K166" s="13" t="s">
        <v>41</v>
      </c>
      <c r="L166" s="13">
        <v>3.0</v>
      </c>
      <c r="M166" s="13">
        <v>3.0</v>
      </c>
      <c r="N166" s="13" t="s">
        <v>23</v>
      </c>
      <c r="O166" s="13">
        <v>11.0</v>
      </c>
      <c r="P166" s="13" t="s">
        <v>23</v>
      </c>
      <c r="Q166" s="13" t="s">
        <v>23</v>
      </c>
      <c r="R166" s="13"/>
      <c r="S166" s="13" t="s">
        <v>23</v>
      </c>
      <c r="T166" s="13" t="s">
        <v>23</v>
      </c>
      <c r="U166" s="13" t="s">
        <v>23</v>
      </c>
    </row>
    <row r="167">
      <c r="A167" s="19" t="str">
        <f>HYPERLINK("https://docs.google.com/spreadsheets/d/1TniiK35-AGMNddj9lkge_tT9QfOGXMfX2thnTv8npTo/edit?usp=sharing","Ken Stafford")</f>
        <v>Ken Stafford</v>
      </c>
      <c r="B167" s="20">
        <v>5.0</v>
      </c>
      <c r="C167" s="21">
        <v>21.0</v>
      </c>
      <c r="D167" s="20">
        <v>9.0</v>
      </c>
      <c r="E167" s="22">
        <v>2.33</v>
      </c>
      <c r="F167" s="14">
        <v>0.0435</v>
      </c>
      <c r="G167" s="21">
        <v>27.0</v>
      </c>
      <c r="H167" s="21">
        <v>1.0</v>
      </c>
      <c r="I167" s="10" t="s">
        <v>9</v>
      </c>
      <c r="J167" s="21" t="s">
        <v>48</v>
      </c>
      <c r="K167" s="20" t="s">
        <v>49</v>
      </c>
      <c r="L167" s="13">
        <v>5.0</v>
      </c>
      <c r="M167" s="13">
        <v>3.0</v>
      </c>
      <c r="N167" s="13" t="s">
        <v>23</v>
      </c>
      <c r="O167" s="13">
        <v>6.0</v>
      </c>
      <c r="P167" s="10" t="s">
        <v>23</v>
      </c>
      <c r="Q167" s="10" t="s">
        <v>23</v>
      </c>
      <c r="R167" s="10"/>
      <c r="S167" s="10" t="s">
        <v>23</v>
      </c>
      <c r="T167" s="10"/>
      <c r="U167" s="10" t="s">
        <v>23</v>
      </c>
    </row>
    <row r="168">
      <c r="A168" s="9" t="str">
        <f>HYPERLINK("https://docs.google.com/spreadsheets/d/1X-5lK1sJCBpvE08rC1VdSsGvayqyrC62cK7W45Q4XX8/edit?usp=sharing","Katie Collins")</f>
        <v>Katie Collins</v>
      </c>
      <c r="B168" s="10">
        <v>27.0</v>
      </c>
      <c r="C168" s="10">
        <v>21.0</v>
      </c>
      <c r="D168" s="10">
        <v>13.0</v>
      </c>
      <c r="E168" s="11">
        <v>1.62</v>
      </c>
      <c r="F168" s="12">
        <v>0.0485</v>
      </c>
      <c r="G168" s="10">
        <v>33.0</v>
      </c>
      <c r="H168" s="10">
        <v>4.0</v>
      </c>
      <c r="I168" s="10" t="s">
        <v>9</v>
      </c>
      <c r="J168" s="10" t="s">
        <v>58</v>
      </c>
      <c r="K168" s="10" t="s">
        <v>71</v>
      </c>
      <c r="L168" s="13">
        <v>3.0</v>
      </c>
      <c r="M168" s="13">
        <v>1.0</v>
      </c>
      <c r="N168" s="13">
        <v>1.0</v>
      </c>
      <c r="O168" s="13">
        <v>12.0</v>
      </c>
      <c r="P168" s="13" t="s">
        <v>23</v>
      </c>
      <c r="Q168" s="13">
        <v>1.0</v>
      </c>
      <c r="R168" s="13"/>
      <c r="S168" s="10" t="s">
        <v>23</v>
      </c>
      <c r="T168" s="10"/>
      <c r="U168" s="10" t="s">
        <v>23</v>
      </c>
    </row>
    <row r="169">
      <c r="A169" s="15" t="str">
        <f>HYPERLINK("https://docs.google.com/spreadsheets/d/1t379i2CYDM1ZVdZZy_Nj2m3ht6Sp4J68-xZ2v4-PIMo/edit?usp=sharing","Joe Del Campo")</f>
        <v>Joe Del Campo</v>
      </c>
      <c r="B169" s="13">
        <v>32.0</v>
      </c>
      <c r="C169" s="13">
        <v>21.0</v>
      </c>
      <c r="D169" s="13">
        <v>13.0</v>
      </c>
      <c r="E169" s="16">
        <v>1.62</v>
      </c>
      <c r="F169" s="17">
        <v>0.0425</v>
      </c>
      <c r="G169" s="13">
        <v>34.0</v>
      </c>
      <c r="H169" s="13">
        <v>5.0</v>
      </c>
      <c r="I169" s="13" t="s">
        <v>9</v>
      </c>
      <c r="J169" s="13" t="s">
        <v>24</v>
      </c>
      <c r="K169" s="13" t="s">
        <v>70</v>
      </c>
      <c r="L169" s="13">
        <v>6.0</v>
      </c>
      <c r="M169" s="13">
        <v>3.0</v>
      </c>
      <c r="N169" s="13" t="s">
        <v>23</v>
      </c>
      <c r="O169" s="13">
        <v>8.0</v>
      </c>
      <c r="P169" s="13" t="s">
        <v>23</v>
      </c>
      <c r="Q169" s="13" t="s">
        <v>23</v>
      </c>
      <c r="R169" s="13"/>
      <c r="S169" s="13" t="s">
        <v>23</v>
      </c>
      <c r="T169" s="13"/>
      <c r="U169" s="13" t="s">
        <v>92</v>
      </c>
    </row>
    <row r="170">
      <c r="A170" s="15" t="str">
        <f>HYPERLINK("https://docs.google.com/spreadsheets/d/1VEbyebFdBtPJKQC_U2uGrW6_v1fn6Hsoz3YYLyCxHR0/edit?usp=sharing","Bruce Kanegai")</f>
        <v>Bruce Kanegai</v>
      </c>
      <c r="B170" s="13">
        <v>12.0</v>
      </c>
      <c r="C170" s="13">
        <v>21.0</v>
      </c>
      <c r="D170" s="13">
        <v>10.0</v>
      </c>
      <c r="E170" s="16">
        <v>2.1</v>
      </c>
      <c r="F170" s="17">
        <v>0.0347</v>
      </c>
      <c r="G170" s="13">
        <v>25.0</v>
      </c>
      <c r="H170" s="13">
        <v>2.0</v>
      </c>
      <c r="I170" s="13" t="s">
        <v>9</v>
      </c>
      <c r="J170" s="13" t="s">
        <v>43</v>
      </c>
      <c r="K170" s="13" t="s">
        <v>57</v>
      </c>
      <c r="L170" s="13">
        <v>7.0</v>
      </c>
      <c r="M170" s="13">
        <v>4.0</v>
      </c>
      <c r="N170" s="13">
        <v>1.0</v>
      </c>
      <c r="O170" s="13">
        <v>4.0</v>
      </c>
      <c r="P170" s="13">
        <v>2.0</v>
      </c>
      <c r="Q170" s="13" t="s">
        <v>23</v>
      </c>
      <c r="R170" s="13"/>
      <c r="S170" s="13" t="s">
        <v>23</v>
      </c>
      <c r="T170" s="13" t="s">
        <v>23</v>
      </c>
      <c r="U170" s="13" t="s">
        <v>92</v>
      </c>
    </row>
    <row r="171">
      <c r="A171" s="15" t="str">
        <f>HYPERLINK("https://docs.google.com/spreadsheets/d/1q-5bbq9txg93Y0eUACxRPTIN5PuRjeDVpNDfeXEw4iE/edit?usp=sharing","Cole Medders")</f>
        <v>Cole Medders</v>
      </c>
      <c r="B171" s="13">
        <v>35.0</v>
      </c>
      <c r="C171" s="13">
        <v>21.0</v>
      </c>
      <c r="D171" s="13">
        <v>9.0</v>
      </c>
      <c r="E171" s="16">
        <v>2.33</v>
      </c>
      <c r="F171" s="17">
        <v>0.0487</v>
      </c>
      <c r="G171" s="13">
        <v>24.0</v>
      </c>
      <c r="H171" s="13">
        <v>2.0</v>
      </c>
      <c r="I171" s="13" t="s">
        <v>9</v>
      </c>
      <c r="J171" s="13" t="s">
        <v>48</v>
      </c>
      <c r="K171" s="13" t="s">
        <v>68</v>
      </c>
      <c r="L171" s="13">
        <v>9.0</v>
      </c>
      <c r="M171" s="13">
        <v>6.0</v>
      </c>
      <c r="N171" s="13">
        <v>1.0</v>
      </c>
      <c r="O171" s="13">
        <v>3.0</v>
      </c>
      <c r="P171" s="13" t="s">
        <v>23</v>
      </c>
      <c r="Q171" s="13" t="s">
        <v>23</v>
      </c>
      <c r="R171" s="13"/>
      <c r="S171" s="13" t="s">
        <v>23</v>
      </c>
      <c r="T171" s="13" t="s">
        <v>23</v>
      </c>
      <c r="U171" s="13" t="s">
        <v>23</v>
      </c>
    </row>
    <row r="172">
      <c r="A172" s="9" t="str">
        <f>HYPERLINK("https://docs.google.com/spreadsheets/d/1CcEdjXKuhm6HmXecNbnscxpFab1HRQEjKSDga6QxqAU/edit?usp=sharing","Ralph Kiser")</f>
        <v>Ralph Kiser</v>
      </c>
      <c r="B172" s="10">
        <v>22.0</v>
      </c>
      <c r="C172" s="10">
        <v>20.0</v>
      </c>
      <c r="D172" s="10">
        <v>13.0</v>
      </c>
      <c r="E172" s="11">
        <v>1.54</v>
      </c>
      <c r="F172" s="12">
        <v>0.0472</v>
      </c>
      <c r="G172" s="10">
        <v>33.0</v>
      </c>
      <c r="H172" s="10">
        <v>3.0</v>
      </c>
      <c r="I172" s="10" t="s">
        <v>9</v>
      </c>
      <c r="J172" s="10" t="s">
        <v>58</v>
      </c>
      <c r="K172" s="10" t="s">
        <v>83</v>
      </c>
      <c r="L172" s="13">
        <v>4.0</v>
      </c>
      <c r="M172" s="13">
        <v>3.0</v>
      </c>
      <c r="N172" s="13" t="s">
        <v>23</v>
      </c>
      <c r="O172" s="13">
        <v>9.0</v>
      </c>
      <c r="P172" s="13" t="s">
        <v>23</v>
      </c>
      <c r="Q172" s="13">
        <v>1.0</v>
      </c>
      <c r="R172" s="13"/>
      <c r="S172" s="10">
        <v>1.0</v>
      </c>
      <c r="T172" s="10"/>
      <c r="U172" s="10" t="s">
        <v>23</v>
      </c>
    </row>
    <row r="173">
      <c r="A173" s="9" t="str">
        <f>HYPERLINK("https://docs.google.com/spreadsheets/d/1X-5lK1sJCBpvE08rC1VdSsGvayqyrC62cK7W45Q4XX8/edit?usp=sharing","Laura Morett")</f>
        <v>Laura Morett</v>
      </c>
      <c r="B173" s="10">
        <v>27.0</v>
      </c>
      <c r="C173" s="10">
        <v>20.0</v>
      </c>
      <c r="D173" s="10">
        <v>14.0</v>
      </c>
      <c r="E173" s="11">
        <v>1.43</v>
      </c>
      <c r="F173" s="12">
        <v>0.0462</v>
      </c>
      <c r="G173" s="10">
        <v>36.0</v>
      </c>
      <c r="H173" s="10">
        <v>6.0</v>
      </c>
      <c r="I173" s="10" t="s">
        <v>9</v>
      </c>
      <c r="J173" s="10" t="s">
        <v>37</v>
      </c>
      <c r="K173" s="10" t="s">
        <v>65</v>
      </c>
      <c r="L173" s="13">
        <v>6.0</v>
      </c>
      <c r="M173" s="13">
        <v>4.0</v>
      </c>
      <c r="N173" s="13" t="s">
        <v>23</v>
      </c>
      <c r="O173" s="13">
        <v>5.0</v>
      </c>
      <c r="P173" s="13" t="s">
        <v>23</v>
      </c>
      <c r="Q173" s="13">
        <v>2.0</v>
      </c>
      <c r="R173" s="13"/>
      <c r="S173" s="10" t="s">
        <v>23</v>
      </c>
      <c r="T173" s="10"/>
      <c r="U173" s="10" t="s">
        <v>23</v>
      </c>
    </row>
    <row r="174">
      <c r="A174" s="9" t="str">
        <f>HYPERLINK("https://docs.google.com/spreadsheets/d/1nYlVL4RxK2ZUH-a4MfKCalHyEjDRWz2ZumhyoaYsjTE/edit?usp=sharing","Benjamin ""Benry"" Henry")</f>
        <v>Benjamin "Benry" Henry</v>
      </c>
      <c r="B174" s="10">
        <v>21.0</v>
      </c>
      <c r="C174" s="10">
        <v>20.0</v>
      </c>
      <c r="D174" s="10">
        <v>12.0</v>
      </c>
      <c r="E174" s="11">
        <v>1.67</v>
      </c>
      <c r="F174" s="12">
        <v>0.0481</v>
      </c>
      <c r="G174" s="10">
        <v>32.0</v>
      </c>
      <c r="H174" s="10">
        <v>5.0</v>
      </c>
      <c r="I174" s="10" t="s">
        <v>9</v>
      </c>
      <c r="J174" s="10" t="s">
        <v>37</v>
      </c>
      <c r="K174" s="10" t="s">
        <v>44</v>
      </c>
      <c r="L174" s="13">
        <v>8.0</v>
      </c>
      <c r="M174" s="13">
        <v>4.0</v>
      </c>
      <c r="N174" s="13" t="s">
        <v>23</v>
      </c>
      <c r="O174" s="13">
        <v>7.0</v>
      </c>
      <c r="P174" s="10" t="s">
        <v>23</v>
      </c>
      <c r="Q174" s="10" t="s">
        <v>23</v>
      </c>
      <c r="R174" s="10"/>
      <c r="S174" s="10" t="s">
        <v>23</v>
      </c>
      <c r="T174" s="10"/>
      <c r="U174" s="10" t="s">
        <v>23</v>
      </c>
    </row>
    <row r="175">
      <c r="A175" s="15" t="str">
        <f>HYPERLINK("https://docs.google.com/spreadsheets/d/1tElnwN2HVf964gGw8Ei53RyfjarS40wkDY3zivAPWp0/edit?usp=sharing","Aubry Bracco")</f>
        <v>Aubry Bracco</v>
      </c>
      <c r="B175" s="13">
        <v>34.0</v>
      </c>
      <c r="C175" s="13">
        <v>20.0</v>
      </c>
      <c r="D175" s="13">
        <v>14.0</v>
      </c>
      <c r="E175" s="16">
        <v>1.43</v>
      </c>
      <c r="F175" s="17">
        <v>0.0485</v>
      </c>
      <c r="G175" s="13">
        <v>37.0</v>
      </c>
      <c r="H175" s="13">
        <v>2.0</v>
      </c>
      <c r="I175" s="13" t="s">
        <v>9</v>
      </c>
      <c r="J175" s="13" t="s">
        <v>45</v>
      </c>
      <c r="K175" s="13" t="s">
        <v>67</v>
      </c>
      <c r="L175" s="13">
        <v>7.0</v>
      </c>
      <c r="M175" s="13">
        <v>3.0</v>
      </c>
      <c r="N175" s="13">
        <v>1.0</v>
      </c>
      <c r="O175" s="13">
        <v>13.0</v>
      </c>
      <c r="P175" s="13" t="s">
        <v>23</v>
      </c>
      <c r="Q175" s="13" t="s">
        <v>23</v>
      </c>
      <c r="R175" s="13"/>
      <c r="S175" s="13" t="s">
        <v>23</v>
      </c>
      <c r="T175" s="13" t="s">
        <v>23</v>
      </c>
      <c r="U175" s="13" t="s">
        <v>23</v>
      </c>
    </row>
    <row r="176">
      <c r="A176" s="9" t="str">
        <f>HYPERLINK("https://docs.google.com/spreadsheets/d/1X-5lK1sJCBpvE08rC1VdSsGvayqyrC62cK7W45Q4XX8/edit?usp=sharing","Aras Baskauskas")</f>
        <v>Aras Baskauskas</v>
      </c>
      <c r="B176" s="10">
        <v>27.0</v>
      </c>
      <c r="C176" s="10">
        <v>20.0</v>
      </c>
      <c r="D176" s="10">
        <v>10.0</v>
      </c>
      <c r="E176" s="11">
        <v>2.0</v>
      </c>
      <c r="F176" s="12">
        <v>0.0462</v>
      </c>
      <c r="G176" s="10">
        <v>25.0</v>
      </c>
      <c r="H176" s="10">
        <v>1.0</v>
      </c>
      <c r="I176" s="10" t="s">
        <v>9</v>
      </c>
      <c r="J176" s="10" t="s">
        <v>84</v>
      </c>
      <c r="K176" s="10" t="s">
        <v>69</v>
      </c>
      <c r="L176" s="13">
        <v>7.0</v>
      </c>
      <c r="M176" s="13">
        <v>6.0</v>
      </c>
      <c r="N176" s="13" t="s">
        <v>23</v>
      </c>
      <c r="O176" s="13">
        <v>2.0</v>
      </c>
      <c r="P176" s="13" t="s">
        <v>23</v>
      </c>
      <c r="Q176" s="13">
        <v>1.0</v>
      </c>
      <c r="R176" s="13"/>
      <c r="S176" s="10" t="s">
        <v>23</v>
      </c>
      <c r="T176" s="10"/>
      <c r="U176" s="10" t="s">
        <v>23</v>
      </c>
    </row>
    <row r="177">
      <c r="A177" s="18" t="s">
        <v>115</v>
      </c>
      <c r="B177" s="13">
        <v>40.0</v>
      </c>
      <c r="C177" s="13">
        <v>20.0</v>
      </c>
      <c r="D177" s="13">
        <v>15.0</v>
      </c>
      <c r="E177" s="16">
        <v>1.33</v>
      </c>
      <c r="F177" s="17">
        <v>0.0349</v>
      </c>
      <c r="G177" s="13">
        <v>36.0</v>
      </c>
      <c r="H177" s="13">
        <v>4.0</v>
      </c>
      <c r="I177" s="13" t="s">
        <v>9</v>
      </c>
      <c r="J177" s="13" t="s">
        <v>116</v>
      </c>
      <c r="K177" s="13" t="s">
        <v>65</v>
      </c>
      <c r="L177" s="13">
        <v>2.0</v>
      </c>
      <c r="M177" s="13">
        <v>4.0</v>
      </c>
      <c r="N177" s="13">
        <v>2.0</v>
      </c>
      <c r="O177" s="13">
        <v>12.0</v>
      </c>
      <c r="P177" s="13" t="s">
        <v>23</v>
      </c>
      <c r="Q177" s="13" t="s">
        <v>23</v>
      </c>
      <c r="R177" s="13" t="s">
        <v>23</v>
      </c>
      <c r="S177" s="13">
        <v>1.0</v>
      </c>
      <c r="T177" s="13">
        <v>5.0</v>
      </c>
      <c r="U177" s="13" t="s">
        <v>23</v>
      </c>
    </row>
    <row r="178">
      <c r="A178" s="18" t="s">
        <v>117</v>
      </c>
      <c r="B178" s="13">
        <v>40.0</v>
      </c>
      <c r="C178" s="13">
        <v>20.0</v>
      </c>
      <c r="D178" s="13">
        <v>15.0</v>
      </c>
      <c r="E178" s="16">
        <v>1.33</v>
      </c>
      <c r="F178" s="17">
        <v>0.0349</v>
      </c>
      <c r="G178" s="13" t="s">
        <v>118</v>
      </c>
      <c r="H178" s="13">
        <v>4.0</v>
      </c>
      <c r="I178" s="13" t="s">
        <v>9</v>
      </c>
      <c r="J178" s="13" t="s">
        <v>119</v>
      </c>
      <c r="K178" s="13" t="s">
        <v>63</v>
      </c>
      <c r="L178" s="13">
        <v>4.0</v>
      </c>
      <c r="M178" s="13">
        <v>5.0</v>
      </c>
      <c r="N178" s="13">
        <v>1.0</v>
      </c>
      <c r="O178" s="13">
        <v>8.0</v>
      </c>
      <c r="P178" s="13" t="s">
        <v>23</v>
      </c>
      <c r="Q178" s="13" t="s">
        <v>23</v>
      </c>
      <c r="R178" s="13">
        <v>1.0</v>
      </c>
      <c r="S178" s="13">
        <v>1.0</v>
      </c>
      <c r="T178" s="13">
        <v>2.0</v>
      </c>
      <c r="U178" s="13" t="s">
        <v>23</v>
      </c>
    </row>
    <row r="179">
      <c r="A179" s="18" t="s">
        <v>120</v>
      </c>
      <c r="B179" s="13">
        <v>40.0</v>
      </c>
      <c r="C179" s="13">
        <v>20.0</v>
      </c>
      <c r="D179" s="13">
        <v>15.0</v>
      </c>
      <c r="E179" s="16">
        <v>1.33</v>
      </c>
      <c r="F179" s="17">
        <v>0.0349</v>
      </c>
      <c r="G179" s="13" t="s">
        <v>121</v>
      </c>
      <c r="H179" s="13">
        <v>6.0</v>
      </c>
      <c r="I179" s="13" t="s">
        <v>9</v>
      </c>
      <c r="J179" s="13" t="s">
        <v>54</v>
      </c>
      <c r="K179" s="13" t="s">
        <v>86</v>
      </c>
      <c r="L179" s="13">
        <v>5.0</v>
      </c>
      <c r="M179" s="13">
        <v>5.0</v>
      </c>
      <c r="N179" s="13" t="s">
        <v>23</v>
      </c>
      <c r="O179" s="13">
        <v>7.0</v>
      </c>
      <c r="P179" s="13" t="s">
        <v>23</v>
      </c>
      <c r="Q179" s="13" t="s">
        <v>23</v>
      </c>
      <c r="R179" s="13">
        <v>1.0</v>
      </c>
      <c r="S179" s="13">
        <v>2.0</v>
      </c>
      <c r="T179" s="13">
        <v>2.0</v>
      </c>
      <c r="U179" s="13" t="s">
        <v>23</v>
      </c>
    </row>
    <row r="180">
      <c r="A180" s="18" t="s">
        <v>122</v>
      </c>
      <c r="B180" s="13">
        <v>40.0</v>
      </c>
      <c r="C180" s="13">
        <v>20.0</v>
      </c>
      <c r="D180" s="13">
        <v>15.0</v>
      </c>
      <c r="E180" s="16">
        <v>1.33</v>
      </c>
      <c r="F180" s="17">
        <v>0.0349</v>
      </c>
      <c r="G180" s="13" t="s">
        <v>123</v>
      </c>
      <c r="H180" s="13">
        <v>7.0</v>
      </c>
      <c r="I180" s="13" t="s">
        <v>42</v>
      </c>
      <c r="J180" s="13" t="s">
        <v>43</v>
      </c>
      <c r="K180" s="13" t="s">
        <v>124</v>
      </c>
      <c r="L180" s="13" t="s">
        <v>23</v>
      </c>
      <c r="M180" s="13">
        <v>1.0</v>
      </c>
      <c r="N180" s="13" t="s">
        <v>23</v>
      </c>
      <c r="O180" s="13">
        <v>3.0</v>
      </c>
      <c r="P180" s="13" t="s">
        <v>23</v>
      </c>
      <c r="Q180" s="13" t="s">
        <v>23</v>
      </c>
      <c r="R180" s="13">
        <v>1.0</v>
      </c>
      <c r="S180" s="13" t="s">
        <v>23</v>
      </c>
      <c r="T180" s="13" t="s">
        <v>23</v>
      </c>
      <c r="U180" s="13" t="s">
        <v>23</v>
      </c>
    </row>
    <row r="181">
      <c r="A181" s="15" t="str">
        <f>HYPERLINK("https://docs.google.com/spreadsheets/d/1ZajpFwOHrMmupCcACeLhLTzPOwhTrjKRR1FJtUgeLww/edit?usp=sharing","Will Wahl")</f>
        <v>Will Wahl</v>
      </c>
      <c r="B181" s="13">
        <v>33.0</v>
      </c>
      <c r="C181" s="13">
        <v>19.0</v>
      </c>
      <c r="D181" s="13">
        <v>13.0</v>
      </c>
      <c r="E181" s="16">
        <v>1.46</v>
      </c>
      <c r="F181" s="17">
        <v>0.0437</v>
      </c>
      <c r="G181" s="13">
        <v>34.0</v>
      </c>
      <c r="H181" s="13">
        <v>5.0</v>
      </c>
      <c r="I181" s="13" t="s">
        <v>9</v>
      </c>
      <c r="J181" s="13" t="s">
        <v>37</v>
      </c>
      <c r="K181" s="13" t="s">
        <v>71</v>
      </c>
      <c r="L181" s="13">
        <v>6.0</v>
      </c>
      <c r="M181" s="13">
        <v>5.0</v>
      </c>
      <c r="N181" s="13">
        <v>1.0</v>
      </c>
      <c r="O181" s="13">
        <v>8.0</v>
      </c>
      <c r="P181" s="13" t="s">
        <v>23</v>
      </c>
      <c r="Q181" s="13" t="s">
        <v>23</v>
      </c>
      <c r="R181" s="13"/>
      <c r="S181" s="13" t="s">
        <v>23</v>
      </c>
      <c r="T181" s="13" t="s">
        <v>23</v>
      </c>
      <c r="U181" s="13" t="s">
        <v>23</v>
      </c>
    </row>
    <row r="182">
      <c r="A182" s="15" t="str">
        <f>HYPERLINK("https://docs.google.com/spreadsheets/d/1ZajpFwOHrMmupCcACeLhLTzPOwhTrjKRR1FJtUgeLww/edit?usp=sharing","Jessica Lewis")</f>
        <v>Jessica Lewis</v>
      </c>
      <c r="B182" s="13">
        <v>33.0</v>
      </c>
      <c r="C182" s="13">
        <v>19.0</v>
      </c>
      <c r="D182" s="13">
        <v>11.0</v>
      </c>
      <c r="E182" s="16">
        <v>1.73</v>
      </c>
      <c r="F182" s="17">
        <v>0.0437</v>
      </c>
      <c r="G182" s="13">
        <v>30.0</v>
      </c>
      <c r="H182" s="13">
        <v>3.0</v>
      </c>
      <c r="I182" s="13" t="s">
        <v>9</v>
      </c>
      <c r="J182" s="13" t="s">
        <v>58</v>
      </c>
      <c r="K182" s="13" t="s">
        <v>86</v>
      </c>
      <c r="L182" s="13">
        <v>3.0</v>
      </c>
      <c r="M182" s="13">
        <v>3.0</v>
      </c>
      <c r="N182" s="13" t="s">
        <v>23</v>
      </c>
      <c r="O182" s="13">
        <v>8.0</v>
      </c>
      <c r="P182" s="13" t="s">
        <v>23</v>
      </c>
      <c r="Q182" s="13" t="s">
        <v>23</v>
      </c>
      <c r="R182" s="13"/>
      <c r="S182" s="13" t="s">
        <v>23</v>
      </c>
      <c r="T182" s="13">
        <v>1.0</v>
      </c>
      <c r="U182" s="13" t="s">
        <v>23</v>
      </c>
    </row>
    <row r="183">
      <c r="A183" s="9" t="str">
        <f>HYPERLINK("https://docs.google.com/spreadsheets/d/1v6gXy2rHfH0CkzT8zUZyZm6b-WimbnBspkh1B5hksu4/edit?usp=sharing","Jay Byars")</f>
        <v>Jay Byars</v>
      </c>
      <c r="B183" s="10">
        <v>24.0</v>
      </c>
      <c r="C183" s="10">
        <v>19.0</v>
      </c>
      <c r="D183" s="10">
        <v>9.0</v>
      </c>
      <c r="E183" s="11">
        <v>2.11</v>
      </c>
      <c r="F183" s="12">
        <v>0.0497</v>
      </c>
      <c r="G183" s="10">
        <v>25.0</v>
      </c>
      <c r="H183" s="10" t="s">
        <v>23</v>
      </c>
      <c r="I183" s="10" t="s">
        <v>9</v>
      </c>
      <c r="J183" s="10" t="s">
        <v>43</v>
      </c>
      <c r="K183" s="10" t="s">
        <v>68</v>
      </c>
      <c r="L183" s="13">
        <v>6.0</v>
      </c>
      <c r="M183" s="13">
        <v>3.0</v>
      </c>
      <c r="N183" s="13">
        <v>1.0</v>
      </c>
      <c r="O183" s="13">
        <v>5.0</v>
      </c>
      <c r="P183" s="10" t="s">
        <v>23</v>
      </c>
      <c r="Q183" s="10" t="s">
        <v>23</v>
      </c>
      <c r="R183" s="10"/>
      <c r="S183" s="10" t="s">
        <v>23</v>
      </c>
      <c r="T183" s="10"/>
      <c r="U183" s="10" t="s">
        <v>23</v>
      </c>
    </row>
    <row r="184">
      <c r="A184" s="9" t="str">
        <f>HYPERLINK("https://docs.google.com/spreadsheets/d/1EsGJrNyA7pLwFUlZ6WfOkbnPz58Cle9N9c6epQSDRVA/edit?usp=sharing","Ciera Eastin")</f>
        <v>Ciera Eastin</v>
      </c>
      <c r="B184" s="10">
        <v>31.0</v>
      </c>
      <c r="C184" s="10">
        <v>19.0</v>
      </c>
      <c r="D184" s="10">
        <v>10.0</v>
      </c>
      <c r="E184" s="11">
        <v>1.9</v>
      </c>
      <c r="F184" s="12">
        <v>0.0434</v>
      </c>
      <c r="G184" s="10">
        <v>26.0</v>
      </c>
      <c r="H184" s="10">
        <v>3.0</v>
      </c>
      <c r="I184" s="10" t="s">
        <v>9</v>
      </c>
      <c r="J184" s="10" t="s">
        <v>58</v>
      </c>
      <c r="K184" s="10" t="s">
        <v>86</v>
      </c>
      <c r="L184" s="13">
        <v>9.0</v>
      </c>
      <c r="M184" s="13">
        <v>5.0</v>
      </c>
      <c r="N184" s="13" t="s">
        <v>23</v>
      </c>
      <c r="O184" s="13">
        <v>5.0</v>
      </c>
      <c r="P184" s="10" t="s">
        <v>23</v>
      </c>
      <c r="Q184" s="10" t="s">
        <v>23</v>
      </c>
      <c r="R184" s="10"/>
      <c r="S184" s="10" t="s">
        <v>23</v>
      </c>
      <c r="T184" s="10"/>
      <c r="U184" s="10" t="s">
        <v>23</v>
      </c>
    </row>
    <row r="185">
      <c r="A185" s="9" t="str">
        <f>HYPERLINK("https://docs.google.com/spreadsheets/d/1tPYt5CqjX32YXnh0BRsechvszEP2n4_ePabpiRTSzqE/edit?usp=sharing","Ryan Opray")</f>
        <v>Ryan Opray</v>
      </c>
      <c r="B185" s="10">
        <v>7.0</v>
      </c>
      <c r="C185" s="10">
        <v>18.0</v>
      </c>
      <c r="D185" s="10">
        <v>9.0</v>
      </c>
      <c r="E185" s="11">
        <v>2.0</v>
      </c>
      <c r="F185" s="12">
        <v>0.0359</v>
      </c>
      <c r="G185" s="10">
        <v>24.0</v>
      </c>
      <c r="H185" s="10">
        <v>3.0</v>
      </c>
      <c r="I185" s="10" t="s">
        <v>9</v>
      </c>
      <c r="J185" s="10" t="s">
        <v>84</v>
      </c>
      <c r="K185" s="10" t="s">
        <v>87</v>
      </c>
      <c r="L185" s="13">
        <v>1.0</v>
      </c>
      <c r="M185" s="13">
        <v>3.0</v>
      </c>
      <c r="N185" s="13" t="s">
        <v>23</v>
      </c>
      <c r="O185" s="13">
        <v>6.0</v>
      </c>
      <c r="P185" s="10" t="s">
        <v>23</v>
      </c>
      <c r="Q185" s="10" t="s">
        <v>23</v>
      </c>
      <c r="R185" s="10"/>
      <c r="S185" s="10" t="s">
        <v>23</v>
      </c>
      <c r="T185" s="10"/>
      <c r="U185" s="10" t="s">
        <v>23</v>
      </c>
    </row>
    <row r="186">
      <c r="A186" s="9" t="str">
        <f>HYPERLINK("https://docs.google.com/spreadsheets/d/1EsGJrNyA7pLwFUlZ6WfOkbnPz58Cle9N9c6epQSDRVA/edit?usp=sharing","Kass McQuillen")</f>
        <v>Kass McQuillen</v>
      </c>
      <c r="B186" s="10">
        <v>31.0</v>
      </c>
      <c r="C186" s="10">
        <v>18.0</v>
      </c>
      <c r="D186" s="10">
        <v>7.0</v>
      </c>
      <c r="E186" s="11">
        <v>2.57</v>
      </c>
      <c r="F186" s="12">
        <v>0.0411</v>
      </c>
      <c r="G186" s="10">
        <v>19.0</v>
      </c>
      <c r="H186" s="10">
        <v>2.0</v>
      </c>
      <c r="I186" s="10" t="s">
        <v>9</v>
      </c>
      <c r="J186" s="10" t="s">
        <v>84</v>
      </c>
      <c r="K186" s="10" t="s">
        <v>100</v>
      </c>
      <c r="L186" s="13">
        <v>6.0</v>
      </c>
      <c r="M186" s="13">
        <v>5.0</v>
      </c>
      <c r="N186" s="13" t="s">
        <v>23</v>
      </c>
      <c r="O186" s="13">
        <v>2.0</v>
      </c>
      <c r="P186" s="10" t="s">
        <v>23</v>
      </c>
      <c r="Q186" s="10" t="s">
        <v>23</v>
      </c>
      <c r="R186" s="10"/>
      <c r="S186" s="10" t="s">
        <v>23</v>
      </c>
      <c r="T186" s="10"/>
      <c r="U186" s="10" t="s">
        <v>23</v>
      </c>
    </row>
    <row r="187">
      <c r="A187" s="9" t="str">
        <f>HYPERLINK("https://docs.google.com/spreadsheets/d/1v6gXy2rHfH0CkzT8zUZyZm6b-WimbnBspkh1B5hksu4/edit?usp=sharing","Greg ""Tarzan"" Smith")</f>
        <v>Greg "Tarzan" Smith</v>
      </c>
      <c r="B187" s="10">
        <v>24.0</v>
      </c>
      <c r="C187" s="10">
        <v>18.0</v>
      </c>
      <c r="D187" s="10">
        <v>13.0</v>
      </c>
      <c r="E187" s="11">
        <v>1.38</v>
      </c>
      <c r="F187" s="12">
        <v>0.0471</v>
      </c>
      <c r="G187" s="10">
        <v>36.0</v>
      </c>
      <c r="H187" s="10">
        <v>4.0</v>
      </c>
      <c r="I187" s="10" t="s">
        <v>9</v>
      </c>
      <c r="J187" s="10" t="s">
        <v>24</v>
      </c>
      <c r="K187" s="10" t="s">
        <v>56</v>
      </c>
      <c r="L187" s="13">
        <v>5.0</v>
      </c>
      <c r="M187" s="13">
        <v>2.0</v>
      </c>
      <c r="N187" s="13" t="s">
        <v>23</v>
      </c>
      <c r="O187" s="13">
        <v>10.0</v>
      </c>
      <c r="P187" s="10" t="s">
        <v>23</v>
      </c>
      <c r="Q187" s="10" t="s">
        <v>23</v>
      </c>
      <c r="R187" s="10"/>
      <c r="S187" s="10" t="s">
        <v>23</v>
      </c>
      <c r="T187" s="10"/>
      <c r="U187" s="10" t="s">
        <v>23</v>
      </c>
    </row>
    <row r="188">
      <c r="A188" s="9" t="str">
        <f>HYPERLINK("https://docs.google.com/spreadsheets/d/1OvIOVR4AMBMcafVt9o6KEur-eEFhew1kw_KUv3DV3Xs/edit?usp=sharing","Edna Ma")</f>
        <v>Edna Ma</v>
      </c>
      <c r="B188" s="10">
        <v>23.0</v>
      </c>
      <c r="C188" s="10">
        <v>18.0</v>
      </c>
      <c r="D188" s="10">
        <v>13.0</v>
      </c>
      <c r="E188" s="11">
        <v>1.38</v>
      </c>
      <c r="F188" s="12">
        <v>0.0449</v>
      </c>
      <c r="G188" s="10">
        <v>33.0</v>
      </c>
      <c r="H188" s="10">
        <v>6.0</v>
      </c>
      <c r="I188" s="10" t="s">
        <v>9</v>
      </c>
      <c r="J188" s="10" t="s">
        <v>37</v>
      </c>
      <c r="K188" s="10" t="s">
        <v>66</v>
      </c>
      <c r="L188" s="13">
        <v>4.0</v>
      </c>
      <c r="M188" s="13">
        <v>4.0</v>
      </c>
      <c r="N188" s="13" t="s">
        <v>23</v>
      </c>
      <c r="O188" s="13">
        <v>10.0</v>
      </c>
      <c r="P188" s="13" t="s">
        <v>23</v>
      </c>
      <c r="Q188" s="13">
        <v>1.0</v>
      </c>
      <c r="R188" s="13"/>
      <c r="S188" s="10" t="s">
        <v>23</v>
      </c>
      <c r="T188" s="10"/>
      <c r="U188" s="10" t="s">
        <v>23</v>
      </c>
    </row>
    <row r="189">
      <c r="A189" s="9" t="str">
        <f>HYPERLINK("https://docs.google.com/spreadsheets/d/1CcEdjXKuhm6HmXecNbnscxpFab1HRQEjKSDga6QxqAU/edit?usp=sharing","David Murphy")</f>
        <v>David Murphy</v>
      </c>
      <c r="B189" s="10">
        <v>22.0</v>
      </c>
      <c r="C189" s="10">
        <v>18.0</v>
      </c>
      <c r="D189" s="10">
        <v>10.0</v>
      </c>
      <c r="E189" s="11">
        <v>1.8</v>
      </c>
      <c r="F189" s="12">
        <v>0.0425</v>
      </c>
      <c r="G189" s="10">
        <v>25.0</v>
      </c>
      <c r="H189" s="10">
        <v>2.0</v>
      </c>
      <c r="I189" s="10" t="s">
        <v>9</v>
      </c>
      <c r="J189" s="10" t="s">
        <v>84</v>
      </c>
      <c r="K189" s="10" t="s">
        <v>105</v>
      </c>
      <c r="L189" s="13">
        <v>4.0</v>
      </c>
      <c r="M189" s="13">
        <v>3.0</v>
      </c>
      <c r="N189" s="13" t="s">
        <v>23</v>
      </c>
      <c r="O189" s="13">
        <v>7.0</v>
      </c>
      <c r="P189" s="13" t="s">
        <v>23</v>
      </c>
      <c r="Q189" s="13">
        <v>1.0</v>
      </c>
      <c r="R189" s="13"/>
      <c r="S189" s="10" t="s">
        <v>23</v>
      </c>
      <c r="T189" s="10"/>
      <c r="U189" s="10" t="s">
        <v>23</v>
      </c>
    </row>
    <row r="190">
      <c r="A190" s="15" t="str">
        <f>HYPERLINK("https://docs.google.com/spreadsheets/d/1tElnwN2HVf964gGw8Ei53RyfjarS40wkDY3zivAPWp0/edit?usp=sharing","Andrea Boehlke")</f>
        <v>Andrea Boehlke</v>
      </c>
      <c r="B190" s="13">
        <v>34.0</v>
      </c>
      <c r="C190" s="13">
        <v>18.0</v>
      </c>
      <c r="D190" s="13">
        <v>13.0</v>
      </c>
      <c r="E190" s="16">
        <v>1.38</v>
      </c>
      <c r="F190" s="17">
        <v>0.0437</v>
      </c>
      <c r="G190" s="13">
        <v>33.0</v>
      </c>
      <c r="H190" s="13">
        <v>3.0</v>
      </c>
      <c r="I190" s="13" t="s">
        <v>9</v>
      </c>
      <c r="J190" s="13" t="s">
        <v>37</v>
      </c>
      <c r="K190" s="13" t="s">
        <v>71</v>
      </c>
      <c r="L190" s="13">
        <v>10.0</v>
      </c>
      <c r="M190" s="13">
        <v>5.0</v>
      </c>
      <c r="N190" s="13">
        <v>2.0</v>
      </c>
      <c r="O190" s="13">
        <v>8.0</v>
      </c>
      <c r="P190" s="13" t="s">
        <v>23</v>
      </c>
      <c r="Q190" s="13" t="s">
        <v>23</v>
      </c>
      <c r="R190" s="13"/>
      <c r="S190" s="13" t="s">
        <v>23</v>
      </c>
      <c r="T190" s="13" t="s">
        <v>23</v>
      </c>
      <c r="U190" s="13" t="s">
        <v>23</v>
      </c>
    </row>
    <row r="191">
      <c r="A191" s="9" t="str">
        <f>HYPERLINK("https://docs.google.com/spreadsheets/d/1nYlVL4RxK2ZUH-a4MfKCalHyEjDRWz2ZumhyoaYsjTE/edit?usp=sharing","Alina Wilson")</f>
        <v>Alina Wilson</v>
      </c>
      <c r="B191" s="10">
        <v>21.0</v>
      </c>
      <c r="C191" s="10">
        <v>18.0</v>
      </c>
      <c r="D191" s="10">
        <v>8.0</v>
      </c>
      <c r="E191" s="11">
        <v>2.25</v>
      </c>
      <c r="F191" s="12">
        <v>0.0433</v>
      </c>
      <c r="G191" s="10">
        <v>22.0</v>
      </c>
      <c r="H191" s="10">
        <v>1.0</v>
      </c>
      <c r="I191" s="10" t="s">
        <v>9</v>
      </c>
      <c r="J191" s="10" t="s">
        <v>84</v>
      </c>
      <c r="K191" s="10" t="s">
        <v>82</v>
      </c>
      <c r="L191" s="13">
        <v>6.0</v>
      </c>
      <c r="M191" s="13">
        <v>4.0</v>
      </c>
      <c r="N191" s="13" t="s">
        <v>23</v>
      </c>
      <c r="O191" s="13">
        <v>4.0</v>
      </c>
      <c r="P191" s="10" t="s">
        <v>23</v>
      </c>
      <c r="Q191" s="10" t="s">
        <v>23</v>
      </c>
      <c r="R191" s="10"/>
      <c r="S191" s="10" t="s">
        <v>23</v>
      </c>
      <c r="T191" s="10"/>
      <c r="U191" s="10" t="s">
        <v>23</v>
      </c>
    </row>
    <row r="192">
      <c r="A192" s="18" t="s">
        <v>125</v>
      </c>
      <c r="B192" s="13">
        <v>40.0</v>
      </c>
      <c r="C192" s="13">
        <v>18.0</v>
      </c>
      <c r="D192" s="13">
        <v>15.0</v>
      </c>
      <c r="E192" s="16">
        <v>1.2</v>
      </c>
      <c r="F192" s="17">
        <v>0.0314</v>
      </c>
      <c r="G192" s="13" t="s">
        <v>126</v>
      </c>
      <c r="H192" s="13">
        <v>6.0</v>
      </c>
      <c r="I192" s="13" t="s">
        <v>42</v>
      </c>
      <c r="J192" s="13" t="s">
        <v>37</v>
      </c>
      <c r="K192" s="13" t="s">
        <v>111</v>
      </c>
      <c r="L192" s="13">
        <v>3.0</v>
      </c>
      <c r="M192" s="13">
        <v>4.0</v>
      </c>
      <c r="N192" s="13" t="s">
        <v>23</v>
      </c>
      <c r="O192" s="13">
        <v>4.0</v>
      </c>
      <c r="P192" s="13" t="s">
        <v>23</v>
      </c>
      <c r="Q192" s="13" t="s">
        <v>23</v>
      </c>
      <c r="R192" s="13">
        <v>1.0</v>
      </c>
      <c r="S192" s="13" t="s">
        <v>23</v>
      </c>
      <c r="T192" s="13">
        <v>2.0</v>
      </c>
      <c r="U192" s="13" t="s">
        <v>23</v>
      </c>
    </row>
    <row r="193">
      <c r="A193" s="9" t="str">
        <f>HYPERLINK("https://docs.google.com/spreadsheets/d/18wmIvmUS3SeZNSPQeUzr6sPl9GBYpVSlOaFR_kJCmKo/edit?usp=sharing","Nick Brown")</f>
        <v>Nick Brown</v>
      </c>
      <c r="B193" s="10">
        <v>2.0</v>
      </c>
      <c r="C193" s="10">
        <v>17.0</v>
      </c>
      <c r="D193" s="10">
        <v>10.0</v>
      </c>
      <c r="E193" s="11">
        <v>1.7</v>
      </c>
      <c r="F193" s="12">
        <v>0.0303</v>
      </c>
      <c r="G193" s="10">
        <v>30.0</v>
      </c>
      <c r="H193" s="10">
        <v>1.0</v>
      </c>
      <c r="I193" s="10" t="s">
        <v>9</v>
      </c>
      <c r="J193" s="10" t="s">
        <v>43</v>
      </c>
      <c r="K193" s="10" t="s">
        <v>57</v>
      </c>
      <c r="L193" s="13">
        <v>4.0</v>
      </c>
      <c r="M193" s="13">
        <v>3.0</v>
      </c>
      <c r="N193" s="13">
        <v>1.0</v>
      </c>
      <c r="O193" s="13">
        <v>6.0</v>
      </c>
      <c r="P193" s="10" t="s">
        <v>23</v>
      </c>
      <c r="Q193" s="10" t="s">
        <v>23</v>
      </c>
      <c r="R193" s="10"/>
      <c r="S193" s="10" t="s">
        <v>23</v>
      </c>
      <c r="T193" s="10"/>
      <c r="U193" s="10" t="s">
        <v>23</v>
      </c>
    </row>
    <row r="194">
      <c r="A194" s="9" t="str">
        <f>HYPERLINK("https://docs.google.com/spreadsheets/d/1EsGJrNyA7pLwFUlZ6WfOkbnPz58Cle9N9c6epQSDRVA/edit?usp=sharing","Keith Nale")</f>
        <v>Keith Nale</v>
      </c>
      <c r="B194" s="10">
        <v>31.0</v>
      </c>
      <c r="C194" s="10">
        <v>17.0</v>
      </c>
      <c r="D194" s="10">
        <v>14.0</v>
      </c>
      <c r="E194" s="11">
        <v>1.21</v>
      </c>
      <c r="F194" s="12">
        <v>0.0388</v>
      </c>
      <c r="G194" s="10">
        <v>37.0</v>
      </c>
      <c r="H194" s="10">
        <v>6.0</v>
      </c>
      <c r="I194" s="10" t="s">
        <v>9</v>
      </c>
      <c r="J194" s="10" t="s">
        <v>45</v>
      </c>
      <c r="K194" s="10" t="s">
        <v>67</v>
      </c>
      <c r="L194" s="13">
        <v>8.0</v>
      </c>
      <c r="M194" s="13">
        <v>6.0</v>
      </c>
      <c r="N194" s="13">
        <v>1.0</v>
      </c>
      <c r="O194" s="13">
        <v>9.0</v>
      </c>
      <c r="P194" s="10" t="s">
        <v>23</v>
      </c>
      <c r="Q194" s="10" t="s">
        <v>23</v>
      </c>
      <c r="R194" s="10"/>
      <c r="S194" s="10" t="s">
        <v>23</v>
      </c>
      <c r="T194" s="10"/>
      <c r="U194" s="10" t="s">
        <v>23</v>
      </c>
    </row>
    <row r="195">
      <c r="A195" s="9" t="str">
        <f>HYPERLINK("https://docs.google.com/spreadsheets/d/1CcEdjXKuhm6HmXecNbnscxpFab1HRQEjKSDga6QxqAU/edit?usp=sharing","Julie Wolfe")</f>
        <v>Julie Wolfe</v>
      </c>
      <c r="B195" s="10">
        <v>22.0</v>
      </c>
      <c r="C195" s="10">
        <v>17.0</v>
      </c>
      <c r="D195" s="10">
        <v>11.0</v>
      </c>
      <c r="E195" s="11">
        <v>1.55</v>
      </c>
      <c r="F195" s="12">
        <v>0.0401</v>
      </c>
      <c r="G195" s="10">
        <v>28.0</v>
      </c>
      <c r="H195" s="10">
        <v>4.0</v>
      </c>
      <c r="I195" s="10" t="s">
        <v>9</v>
      </c>
      <c r="J195" s="10" t="s">
        <v>48</v>
      </c>
      <c r="K195" s="10" t="s">
        <v>85</v>
      </c>
      <c r="L195" s="13">
        <v>4.0</v>
      </c>
      <c r="M195" s="13">
        <v>3.0</v>
      </c>
      <c r="N195" s="13" t="s">
        <v>23</v>
      </c>
      <c r="O195" s="13">
        <v>8.0</v>
      </c>
      <c r="P195" s="13" t="s">
        <v>23</v>
      </c>
      <c r="Q195" s="13">
        <v>1.0</v>
      </c>
      <c r="R195" s="13"/>
      <c r="S195" s="10" t="s">
        <v>23</v>
      </c>
      <c r="T195" s="10"/>
      <c r="U195" s="10" t="s">
        <v>23</v>
      </c>
    </row>
    <row r="196">
      <c r="A196" s="9" t="str">
        <f>HYPERLINK("https://docs.google.com/spreadsheets/d/1v6gXy2rHfH0CkzT8zUZyZm6b-WimbnBspkh1B5hksu4/edit?usp=sharing","Jonas Otsuji")</f>
        <v>Jonas Otsuji</v>
      </c>
      <c r="B196" s="10">
        <v>24.0</v>
      </c>
      <c r="C196" s="10">
        <v>17.0</v>
      </c>
      <c r="D196" s="10">
        <v>7.0</v>
      </c>
      <c r="E196" s="11">
        <v>2.43</v>
      </c>
      <c r="F196" s="12">
        <v>0.0445</v>
      </c>
      <c r="G196" s="10">
        <v>20.0</v>
      </c>
      <c r="H196" s="10" t="s">
        <v>23</v>
      </c>
      <c r="I196" s="10" t="s">
        <v>9</v>
      </c>
      <c r="J196" s="10" t="s">
        <v>84</v>
      </c>
      <c r="K196" s="10" t="s">
        <v>105</v>
      </c>
      <c r="L196" s="13">
        <v>3.0</v>
      </c>
      <c r="M196" s="13">
        <v>2.0</v>
      </c>
      <c r="N196" s="13" t="s">
        <v>23</v>
      </c>
      <c r="O196" s="13">
        <v>4.0</v>
      </c>
      <c r="P196" s="10" t="s">
        <v>23</v>
      </c>
      <c r="Q196" s="10" t="s">
        <v>23</v>
      </c>
      <c r="R196" s="10"/>
      <c r="S196" s="10" t="s">
        <v>23</v>
      </c>
      <c r="T196" s="10"/>
      <c r="U196" s="10" t="s">
        <v>23</v>
      </c>
    </row>
    <row r="197">
      <c r="A197" s="9" t="str">
        <f>HYPERLINK("https://docs.google.com/spreadsheets/d/1iNFGyKFcJm-tPp7Dg94yi7mHCDbJssmAD_PiaDM_tAE/edit?usp=sharing","Alec Christy")</f>
        <v>Alec Christy</v>
      </c>
      <c r="B197" s="10">
        <v>29.0</v>
      </c>
      <c r="C197" s="10">
        <v>17.0</v>
      </c>
      <c r="D197" s="10">
        <v>12.0</v>
      </c>
      <c r="E197" s="11">
        <v>1.42</v>
      </c>
      <c r="F197" s="12">
        <v>0.0382</v>
      </c>
      <c r="G197" s="10">
        <v>32.0</v>
      </c>
      <c r="H197" s="10">
        <v>3.0</v>
      </c>
      <c r="I197" s="10" t="s">
        <v>9</v>
      </c>
      <c r="J197" s="10" t="s">
        <v>46</v>
      </c>
      <c r="K197" s="10" t="s">
        <v>66</v>
      </c>
      <c r="L197" s="23">
        <v>5.0</v>
      </c>
      <c r="M197" s="23">
        <v>3.0</v>
      </c>
      <c r="N197" s="23" t="s">
        <v>23</v>
      </c>
      <c r="O197" s="23">
        <v>8.0</v>
      </c>
      <c r="P197" s="23">
        <v>1.0</v>
      </c>
      <c r="Q197" s="23" t="s">
        <v>23</v>
      </c>
      <c r="R197" s="23"/>
      <c r="S197" s="13" t="s">
        <v>23</v>
      </c>
      <c r="T197" s="13"/>
      <c r="U197" s="10" t="s">
        <v>23</v>
      </c>
    </row>
    <row r="198">
      <c r="A198" s="15" t="str">
        <f>HYPERLINK("https://docs.google.com/spreadsheets/d/1t379i2CYDM1ZVdZZy_Nj2m3ht6Sp4J68-xZ2v4-PIMo/edit?usp=sharing","Neal Gottlieb")</f>
        <v>Neal Gottlieb</v>
      </c>
      <c r="B198" s="13">
        <v>32.0</v>
      </c>
      <c r="C198" s="13">
        <v>16.0</v>
      </c>
      <c r="D198" s="13">
        <v>7.0</v>
      </c>
      <c r="E198" s="16">
        <v>2.29</v>
      </c>
      <c r="F198" s="17">
        <v>0.0324</v>
      </c>
      <c r="G198" s="13">
        <v>19.0</v>
      </c>
      <c r="H198" s="13">
        <v>2.0</v>
      </c>
      <c r="I198" s="13" t="s">
        <v>9</v>
      </c>
      <c r="J198" s="13" t="s">
        <v>84</v>
      </c>
      <c r="K198" s="13" t="s">
        <v>85</v>
      </c>
      <c r="L198" s="13">
        <v>4.0</v>
      </c>
      <c r="M198" s="13">
        <v>5.0</v>
      </c>
      <c r="N198" s="13" t="s">
        <v>23</v>
      </c>
      <c r="O198" s="13">
        <v>1.0</v>
      </c>
      <c r="P198" s="13" t="s">
        <v>23</v>
      </c>
      <c r="Q198" s="13" t="s">
        <v>23</v>
      </c>
      <c r="R198" s="13"/>
      <c r="S198" s="13">
        <v>1.0</v>
      </c>
      <c r="T198" s="13"/>
      <c r="U198" s="13" t="s">
        <v>92</v>
      </c>
    </row>
    <row r="199">
      <c r="A199" s="15" t="str">
        <f>HYPERLINK("https://docs.google.com/spreadsheets/d/1t379i2CYDM1ZVdZZy_Nj2m3ht6Sp4J68-xZ2v4-PIMo/edit?usp=sharing","Julia Sokolowski")</f>
        <v>Julia Sokolowski</v>
      </c>
      <c r="B199" s="13">
        <v>32.0</v>
      </c>
      <c r="C199" s="13">
        <v>16.0</v>
      </c>
      <c r="D199" s="13">
        <v>11.0</v>
      </c>
      <c r="E199" s="16">
        <v>1.45</v>
      </c>
      <c r="F199" s="17">
        <v>0.0324</v>
      </c>
      <c r="G199" s="13">
        <v>29.0</v>
      </c>
      <c r="H199" s="13">
        <v>3.0</v>
      </c>
      <c r="I199" s="13" t="s">
        <v>9</v>
      </c>
      <c r="J199" s="13" t="s">
        <v>46</v>
      </c>
      <c r="K199" s="13" t="s">
        <v>66</v>
      </c>
      <c r="L199" s="13">
        <v>9.0</v>
      </c>
      <c r="M199" s="13">
        <v>4.0</v>
      </c>
      <c r="N199" s="13">
        <v>1.0</v>
      </c>
      <c r="O199" s="13">
        <v>5.0</v>
      </c>
      <c r="P199" s="13" t="s">
        <v>127</v>
      </c>
      <c r="Q199" s="13" t="s">
        <v>23</v>
      </c>
      <c r="R199" s="13"/>
      <c r="S199" s="13" t="s">
        <v>23</v>
      </c>
      <c r="T199" s="13"/>
      <c r="U199" s="13" t="s">
        <v>23</v>
      </c>
    </row>
    <row r="200">
      <c r="A200" s="9" t="str">
        <f>HYPERLINK("https://docs.google.com/spreadsheets/d/1y7awzkkkaNlh7XKjc44AGriTvqB9H3pVz8cFLyIYdbo/edit?usp=sharing","Jefra Bland")</f>
        <v>Jefra Bland</v>
      </c>
      <c r="B200" s="10">
        <v>28.0</v>
      </c>
      <c r="C200" s="10">
        <v>16.0</v>
      </c>
      <c r="D200" s="10">
        <v>11.0</v>
      </c>
      <c r="E200" s="11">
        <v>1.45</v>
      </c>
      <c r="F200" s="12">
        <v>0.0349</v>
      </c>
      <c r="G200" s="10">
        <v>30.0</v>
      </c>
      <c r="H200" s="10">
        <v>3.0</v>
      </c>
      <c r="I200" s="10" t="s">
        <v>9</v>
      </c>
      <c r="J200" s="10" t="s">
        <v>46</v>
      </c>
      <c r="K200" s="10" t="s">
        <v>66</v>
      </c>
      <c r="L200" s="13">
        <v>9.0</v>
      </c>
      <c r="M200" s="13">
        <v>4.0</v>
      </c>
      <c r="N200" s="13" t="s">
        <v>23</v>
      </c>
      <c r="O200" s="13">
        <v>7.0</v>
      </c>
      <c r="P200" s="10" t="s">
        <v>23</v>
      </c>
      <c r="Q200" s="10" t="s">
        <v>23</v>
      </c>
      <c r="R200" s="10"/>
      <c r="S200" s="10" t="s">
        <v>23</v>
      </c>
      <c r="T200" s="10"/>
      <c r="U200" s="10" t="s">
        <v>23</v>
      </c>
    </row>
    <row r="201">
      <c r="A201" s="15" t="str">
        <f>HYPERLINK("https://docs.google.com/spreadsheets/d/1sWOJC8eB6rVdXdWiWMgfbfgw2325jIh1ODKxyaCmSGc/edit?usp=sharing","Jamie Newton")</f>
        <v>Jamie Newton</v>
      </c>
      <c r="B201" s="13">
        <v>11.0</v>
      </c>
      <c r="C201" s="13">
        <v>16.0</v>
      </c>
      <c r="D201" s="13">
        <v>10.0</v>
      </c>
      <c r="E201" s="16">
        <v>1.6</v>
      </c>
      <c r="F201" s="17">
        <v>0.0363</v>
      </c>
      <c r="G201" s="13">
        <v>27.0</v>
      </c>
      <c r="H201" s="13" t="s">
        <v>23</v>
      </c>
      <c r="I201" s="13" t="s">
        <v>9</v>
      </c>
      <c r="J201" s="13" t="s">
        <v>48</v>
      </c>
      <c r="K201" s="13" t="s">
        <v>47</v>
      </c>
      <c r="L201" s="13">
        <v>3.0</v>
      </c>
      <c r="M201" s="13">
        <v>3.0</v>
      </c>
      <c r="N201" s="13">
        <v>1.0</v>
      </c>
      <c r="O201" s="13">
        <v>7.0</v>
      </c>
      <c r="P201" s="13" t="s">
        <v>23</v>
      </c>
      <c r="Q201" s="13" t="s">
        <v>23</v>
      </c>
      <c r="R201" s="13"/>
      <c r="S201" s="13" t="s">
        <v>23</v>
      </c>
      <c r="T201" s="13" t="s">
        <v>23</v>
      </c>
      <c r="U201" s="13" t="s">
        <v>23</v>
      </c>
    </row>
    <row r="202">
      <c r="A202" s="9" t="str">
        <f>HYPERLINK("https://docs.google.com/spreadsheets/d/1v6gXy2rHfH0CkzT8zUZyZm6b-WimbnBspkh1B5hksu4/edit?usp=sharing","Christina Cha")</f>
        <v>Christina Cha</v>
      </c>
      <c r="B202" s="10">
        <v>24.0</v>
      </c>
      <c r="C202" s="10">
        <v>16.0</v>
      </c>
      <c r="D202" s="10">
        <v>14.0</v>
      </c>
      <c r="E202" s="11">
        <v>1.14</v>
      </c>
      <c r="F202" s="12">
        <v>0.0419</v>
      </c>
      <c r="G202" s="10">
        <v>38.0</v>
      </c>
      <c r="H202" s="10">
        <v>5.0</v>
      </c>
      <c r="I202" s="10" t="s">
        <v>9</v>
      </c>
      <c r="J202" s="10" t="s">
        <v>45</v>
      </c>
      <c r="K202" s="10" t="s">
        <v>41</v>
      </c>
      <c r="L202" s="13">
        <v>5.0</v>
      </c>
      <c r="M202" s="13">
        <v>2.0</v>
      </c>
      <c r="N202" s="13" t="s">
        <v>23</v>
      </c>
      <c r="O202" s="13">
        <v>11.0</v>
      </c>
      <c r="P202" s="10" t="s">
        <v>23</v>
      </c>
      <c r="Q202" s="10" t="s">
        <v>23</v>
      </c>
      <c r="R202" s="10"/>
      <c r="S202" s="10" t="s">
        <v>23</v>
      </c>
      <c r="T202" s="10"/>
      <c r="U202" s="10" t="s">
        <v>23</v>
      </c>
    </row>
    <row r="203">
      <c r="A203" s="9" t="str">
        <f>HYPERLINK("https://docs.google.com/spreadsheets/d/1X-5lK1sJCBpvE08rC1VdSsGvayqyrC62cK7W45Q4XX8/edit?usp=sharing","Caleb Bankston")</f>
        <v>Caleb Bankston</v>
      </c>
      <c r="B203" s="10">
        <v>27.0</v>
      </c>
      <c r="C203" s="10">
        <v>16.0</v>
      </c>
      <c r="D203" s="10">
        <v>12.0</v>
      </c>
      <c r="E203" s="11">
        <v>1.33</v>
      </c>
      <c r="F203" s="12">
        <v>0.037</v>
      </c>
      <c r="G203" s="10">
        <v>30.0</v>
      </c>
      <c r="H203" s="10">
        <v>5.0</v>
      </c>
      <c r="I203" s="10" t="s">
        <v>9</v>
      </c>
      <c r="J203" s="10" t="s">
        <v>43</v>
      </c>
      <c r="K203" s="10" t="s">
        <v>63</v>
      </c>
      <c r="L203" s="13">
        <v>5.0</v>
      </c>
      <c r="M203" s="13">
        <v>3.0</v>
      </c>
      <c r="N203" s="13" t="s">
        <v>23</v>
      </c>
      <c r="O203" s="13">
        <v>9.0</v>
      </c>
      <c r="P203" s="13" t="s">
        <v>23</v>
      </c>
      <c r="Q203" s="13">
        <v>1.0</v>
      </c>
      <c r="R203" s="13"/>
      <c r="S203" s="10" t="s">
        <v>23</v>
      </c>
      <c r="T203" s="10"/>
      <c r="U203" s="10" t="s">
        <v>23</v>
      </c>
    </row>
    <row r="204">
      <c r="A204" s="9" t="str">
        <f>HYPERLINK("https://docs.google.com/spreadsheets/d/1w0I5RoQ7uENhUG1ncC5V9B3b6BQapplx180-f9F9s4w/edit?usp=sharing","Butch Lockley")</f>
        <v>Butch Lockley</v>
      </c>
      <c r="B204" s="10">
        <v>6.0</v>
      </c>
      <c r="C204" s="10">
        <v>16.0</v>
      </c>
      <c r="D204" s="10">
        <v>13.0</v>
      </c>
      <c r="E204" s="11">
        <v>1.23</v>
      </c>
      <c r="F204" s="12">
        <v>0.0329</v>
      </c>
      <c r="G204" s="10">
        <v>37.0</v>
      </c>
      <c r="H204" s="10">
        <v>3.0</v>
      </c>
      <c r="I204" s="10" t="s">
        <v>9</v>
      </c>
      <c r="J204" s="10" t="s">
        <v>37</v>
      </c>
      <c r="K204" s="10" t="s">
        <v>38</v>
      </c>
      <c r="L204" s="13">
        <v>5.0</v>
      </c>
      <c r="M204" s="13">
        <v>3.0</v>
      </c>
      <c r="N204" s="13" t="s">
        <v>23</v>
      </c>
      <c r="O204" s="13">
        <v>10.0</v>
      </c>
      <c r="P204" s="10" t="s">
        <v>23</v>
      </c>
      <c r="Q204" s="10" t="s">
        <v>23</v>
      </c>
      <c r="R204" s="10"/>
      <c r="S204" s="10" t="s">
        <v>23</v>
      </c>
      <c r="T204" s="10"/>
      <c r="U204" s="10" t="s">
        <v>23</v>
      </c>
    </row>
    <row r="205">
      <c r="A205" s="9" t="str">
        <f>HYPERLINK("https://docs.google.com/spreadsheets/d/1y7awzkkkaNlh7XKjc44AGriTvqB9H3pVz8cFLyIYdbo/edit?usp=sharing","Morgan McLeod")</f>
        <v>Morgan McLeod</v>
      </c>
      <c r="B205" s="10">
        <v>28.0</v>
      </c>
      <c r="C205" s="10">
        <v>15.0</v>
      </c>
      <c r="D205" s="10">
        <v>8.0</v>
      </c>
      <c r="E205" s="11">
        <v>1.88</v>
      </c>
      <c r="F205" s="12">
        <v>0.0327</v>
      </c>
      <c r="G205" s="10">
        <v>22.0</v>
      </c>
      <c r="H205" s="10">
        <v>2.0</v>
      </c>
      <c r="I205" s="10" t="s">
        <v>9</v>
      </c>
      <c r="J205" s="10" t="s">
        <v>48</v>
      </c>
      <c r="K205" s="10" t="s">
        <v>68</v>
      </c>
      <c r="L205" s="13">
        <v>5.0</v>
      </c>
      <c r="M205" s="13">
        <v>4.0</v>
      </c>
      <c r="N205" s="13" t="s">
        <v>23</v>
      </c>
      <c r="O205" s="13">
        <v>4.0</v>
      </c>
      <c r="P205" s="10" t="s">
        <v>23</v>
      </c>
      <c r="Q205" s="10" t="s">
        <v>23</v>
      </c>
      <c r="R205" s="10"/>
      <c r="S205" s="10" t="s">
        <v>23</v>
      </c>
      <c r="T205" s="10"/>
      <c r="U205" s="10" t="s">
        <v>23</v>
      </c>
    </row>
    <row r="206">
      <c r="A206" s="9" t="str">
        <f>HYPERLINK("https://docs.google.com/spreadsheets/d/1v6gXy2rHfH0CkzT8zUZyZm6b-WimbnBspkh1B5hksu4/edit?usp=sharing","Kat Edorsson")</f>
        <v>Kat Edorsson</v>
      </c>
      <c r="B206" s="10">
        <v>24.0</v>
      </c>
      <c r="C206" s="10">
        <v>15.0</v>
      </c>
      <c r="D206" s="10">
        <v>12.0</v>
      </c>
      <c r="E206" s="11">
        <v>1.25</v>
      </c>
      <c r="F206" s="12">
        <v>0.0393</v>
      </c>
      <c r="G206" s="10">
        <v>33.0</v>
      </c>
      <c r="H206" s="10">
        <v>5.0</v>
      </c>
      <c r="I206" s="10" t="s">
        <v>9</v>
      </c>
      <c r="J206" s="10" t="s">
        <v>37</v>
      </c>
      <c r="K206" s="10" t="s">
        <v>66</v>
      </c>
      <c r="L206" s="13">
        <v>8.0</v>
      </c>
      <c r="M206" s="13">
        <v>3.0</v>
      </c>
      <c r="N206" s="13" t="s">
        <v>23</v>
      </c>
      <c r="O206" s="13">
        <v>7.0</v>
      </c>
      <c r="P206" s="10" t="s">
        <v>23</v>
      </c>
      <c r="Q206" s="10" t="s">
        <v>23</v>
      </c>
      <c r="R206" s="10"/>
      <c r="S206" s="10" t="s">
        <v>23</v>
      </c>
      <c r="T206" s="10"/>
      <c r="U206" s="10" t="s">
        <v>23</v>
      </c>
    </row>
    <row r="207">
      <c r="A207" s="15" t="str">
        <f>HYPERLINK("https://docs.google.com/spreadsheets/d/1d8Hzm_QCJnDef8NF_dVYBZLjLjFI3Fl8Yt14m8Zhn8Y/edit?usp=sharing","Janu Tornell")</f>
        <v>Janu Tornell</v>
      </c>
      <c r="B207" s="13">
        <v>10.0</v>
      </c>
      <c r="C207" s="13">
        <v>15.0</v>
      </c>
      <c r="D207" s="13">
        <v>10.0</v>
      </c>
      <c r="E207" s="16">
        <v>1.5</v>
      </c>
      <c r="F207" s="17">
        <v>0.0351</v>
      </c>
      <c r="G207" s="13">
        <v>27.0</v>
      </c>
      <c r="H207" s="13">
        <v>5.0</v>
      </c>
      <c r="I207" s="13" t="s">
        <v>42</v>
      </c>
      <c r="J207" s="13" t="s">
        <v>48</v>
      </c>
      <c r="K207" s="13" t="s">
        <v>71</v>
      </c>
      <c r="L207" s="13">
        <v>7.0</v>
      </c>
      <c r="M207" s="13">
        <v>7.0</v>
      </c>
      <c r="N207" s="13" t="s">
        <v>23</v>
      </c>
      <c r="O207" s="13">
        <v>3.0</v>
      </c>
      <c r="P207" s="13">
        <v>1.0</v>
      </c>
      <c r="Q207" s="13" t="s">
        <v>23</v>
      </c>
      <c r="R207" s="13"/>
      <c r="S207" s="13" t="s">
        <v>23</v>
      </c>
      <c r="T207" s="13" t="s">
        <v>23</v>
      </c>
      <c r="U207" s="13" t="s">
        <v>64</v>
      </c>
    </row>
    <row r="208">
      <c r="A208" s="9" t="str">
        <f>HYPERLINK("https://docs.google.com/spreadsheets/d/1CcEdjXKuhm6HmXecNbnscxpFab1HRQEjKSDga6QxqAU/edit?usp=sharing","Grant Mattos")</f>
        <v>Grant Mattos</v>
      </c>
      <c r="B208" s="10">
        <v>22.0</v>
      </c>
      <c r="C208" s="10">
        <v>15.0</v>
      </c>
      <c r="D208" s="10">
        <v>14.0</v>
      </c>
      <c r="E208" s="11">
        <v>1.07</v>
      </c>
      <c r="F208" s="12">
        <v>0.0354</v>
      </c>
      <c r="G208" s="10">
        <v>36.0</v>
      </c>
      <c r="H208" s="10">
        <v>4.0</v>
      </c>
      <c r="I208" s="10" t="s">
        <v>9</v>
      </c>
      <c r="J208" s="10" t="s">
        <v>46</v>
      </c>
      <c r="K208" s="10" t="s">
        <v>47</v>
      </c>
      <c r="L208" s="13">
        <v>7.0</v>
      </c>
      <c r="M208" s="13">
        <v>4.0</v>
      </c>
      <c r="N208" s="13">
        <v>2.0</v>
      </c>
      <c r="O208" s="13">
        <v>11.0</v>
      </c>
      <c r="P208" s="13" t="s">
        <v>23</v>
      </c>
      <c r="Q208" s="13">
        <v>1.0</v>
      </c>
      <c r="R208" s="13"/>
      <c r="S208" s="10" t="s">
        <v>23</v>
      </c>
      <c r="T208" s="10"/>
      <c r="U208" s="10" t="s">
        <v>23</v>
      </c>
    </row>
    <row r="209">
      <c r="A209" s="19" t="str">
        <f>HYPERLINK("https://docs.google.com/spreadsheets/d/1TniiK35-AGMNddj9lkge_tT9QfOGXMfX2thnTv8npTo/edit?usp=sharing","Erin Collins")</f>
        <v>Erin Collins</v>
      </c>
      <c r="B209" s="20">
        <v>5.0</v>
      </c>
      <c r="C209" s="21">
        <v>15.0</v>
      </c>
      <c r="D209" s="20">
        <v>8.0</v>
      </c>
      <c r="E209" s="22">
        <v>1.88</v>
      </c>
      <c r="F209" s="14">
        <v>0.0311</v>
      </c>
      <c r="G209" s="21">
        <v>24.0</v>
      </c>
      <c r="H209" s="21">
        <v>1.0</v>
      </c>
      <c r="I209" s="10" t="s">
        <v>42</v>
      </c>
      <c r="J209" s="21" t="s">
        <v>84</v>
      </c>
      <c r="K209" s="20" t="s">
        <v>87</v>
      </c>
      <c r="L209" s="13">
        <v>5.0</v>
      </c>
      <c r="M209" s="13">
        <v>3.0</v>
      </c>
      <c r="N209" s="13" t="s">
        <v>23</v>
      </c>
      <c r="O209" s="13">
        <v>5.0</v>
      </c>
      <c r="P209" s="10" t="s">
        <v>23</v>
      </c>
      <c r="Q209" s="10" t="s">
        <v>23</v>
      </c>
      <c r="R209" s="10"/>
      <c r="S209" s="10" t="s">
        <v>23</v>
      </c>
      <c r="T209" s="10"/>
      <c r="U209" s="10" t="s">
        <v>23</v>
      </c>
    </row>
    <row r="210">
      <c r="A210" s="9" t="str">
        <f>HYPERLINK("https://docs.google.com/spreadsheets/d/1LR80O0PvsOvoTuN5gHQd3Rls4b1rZmJd7EZ_DR2oRHs/edit?usp=sharing","Erik Reichenbach")</f>
        <v>Erik Reichenbach</v>
      </c>
      <c r="B210" s="10">
        <v>26.0</v>
      </c>
      <c r="C210" s="10">
        <v>15.0</v>
      </c>
      <c r="D210" s="10">
        <v>14.0</v>
      </c>
      <c r="E210" s="11">
        <v>1.07</v>
      </c>
      <c r="F210" s="12">
        <v>0.0363</v>
      </c>
      <c r="G210" s="10">
        <v>36.0</v>
      </c>
      <c r="H210" s="10">
        <v>7.0</v>
      </c>
      <c r="I210" s="10" t="s">
        <v>9</v>
      </c>
      <c r="J210" s="10" t="s">
        <v>24</v>
      </c>
      <c r="K210" s="10" t="s">
        <v>67</v>
      </c>
      <c r="L210" s="13">
        <v>11.0</v>
      </c>
      <c r="M210" s="13">
        <v>5.0</v>
      </c>
      <c r="N210" s="13">
        <v>1.0</v>
      </c>
      <c r="O210" s="13">
        <v>9.0</v>
      </c>
      <c r="P210" s="10" t="s">
        <v>23</v>
      </c>
      <c r="Q210" s="10" t="s">
        <v>23</v>
      </c>
      <c r="R210" s="10"/>
      <c r="S210" s="10">
        <v>1.0</v>
      </c>
      <c r="T210" s="10"/>
      <c r="U210" s="10" t="s">
        <v>92</v>
      </c>
    </row>
    <row r="211">
      <c r="A211" s="15" t="str">
        <f>HYPERLINK("https://docs.google.com/spreadsheets/d/1yi_HtvN4TS5uRWCCFJg5RFaoouiIIe8CAtY_XnqP6iM/edit?usp=sharing","Chad Crittenden")</f>
        <v>Chad Crittenden</v>
      </c>
      <c r="B211" s="13">
        <v>9.0</v>
      </c>
      <c r="C211" s="13">
        <v>15.0</v>
      </c>
      <c r="D211" s="13">
        <v>10.0</v>
      </c>
      <c r="E211" s="16">
        <v>1.5</v>
      </c>
      <c r="F211" s="17">
        <v>0.0358</v>
      </c>
      <c r="G211" s="13">
        <v>27.0</v>
      </c>
      <c r="H211" s="13">
        <v>2.0</v>
      </c>
      <c r="I211" s="13" t="s">
        <v>9</v>
      </c>
      <c r="J211" s="13" t="s">
        <v>48</v>
      </c>
      <c r="K211" s="13" t="s">
        <v>47</v>
      </c>
      <c r="L211" s="13">
        <v>5.0</v>
      </c>
      <c r="M211" s="13">
        <v>3.0</v>
      </c>
      <c r="N211" s="13" t="s">
        <v>23</v>
      </c>
      <c r="O211" s="13">
        <v>7.0</v>
      </c>
      <c r="P211" s="10" t="s">
        <v>23</v>
      </c>
      <c r="Q211" s="10" t="s">
        <v>23</v>
      </c>
      <c r="R211" s="10"/>
      <c r="S211" s="10" t="s">
        <v>23</v>
      </c>
      <c r="T211" s="10"/>
      <c r="U211" s="10" t="s">
        <v>23</v>
      </c>
    </row>
    <row r="212">
      <c r="A212" s="15" t="str">
        <f>HYPERLINK("https://docs.google.com/spreadsheets/d/1Hf_PbZTXAuooCoiF7c3Bz80t5-zCjdWHF8wQ_HyodNs/edit?usp=sharing","Angela Perkins")</f>
        <v>Angela Perkins</v>
      </c>
      <c r="B212" s="13">
        <v>36.0</v>
      </c>
      <c r="C212" s="13">
        <v>15.0</v>
      </c>
      <c r="D212" s="13">
        <v>14.0</v>
      </c>
      <c r="E212" s="16">
        <v>1.07</v>
      </c>
      <c r="F212" s="17">
        <v>0.0382</v>
      </c>
      <c r="G212" s="13">
        <v>38.0</v>
      </c>
      <c r="H212" s="13">
        <v>8.0</v>
      </c>
      <c r="I212" s="13" t="s">
        <v>9</v>
      </c>
      <c r="J212" s="13" t="s">
        <v>54</v>
      </c>
      <c r="K212" s="13" t="s">
        <v>55</v>
      </c>
      <c r="L212" s="13">
        <v>6.0</v>
      </c>
      <c r="M212" s="13">
        <v>5.0</v>
      </c>
      <c r="N212" s="13">
        <v>1.0</v>
      </c>
      <c r="O212" s="13">
        <v>11.0</v>
      </c>
      <c r="P212" s="13">
        <v>1.0</v>
      </c>
      <c r="Q212" s="13" t="s">
        <v>23</v>
      </c>
      <c r="R212" s="13"/>
      <c r="S212" s="13" t="s">
        <v>23</v>
      </c>
      <c r="T212" s="13" t="s">
        <v>23</v>
      </c>
      <c r="U212" s="13" t="s">
        <v>23</v>
      </c>
    </row>
    <row r="213">
      <c r="A213" s="18" t="s">
        <v>132</v>
      </c>
      <c r="B213" s="13">
        <v>40.0</v>
      </c>
      <c r="C213" s="13">
        <v>15.0</v>
      </c>
      <c r="D213" s="13">
        <v>15.0</v>
      </c>
      <c r="E213" s="16">
        <v>1.0</v>
      </c>
      <c r="F213" s="17">
        <v>0.0262</v>
      </c>
      <c r="G213" s="13" t="s">
        <v>133</v>
      </c>
      <c r="H213" s="13">
        <v>7.0</v>
      </c>
      <c r="I213" s="13" t="s">
        <v>42</v>
      </c>
      <c r="J213" s="13" t="s">
        <v>48</v>
      </c>
      <c r="K213" s="13" t="s">
        <v>131</v>
      </c>
      <c r="L213" s="13" t="s">
        <v>23</v>
      </c>
      <c r="M213" s="13">
        <v>1.0</v>
      </c>
      <c r="N213" s="13" t="s">
        <v>23</v>
      </c>
      <c r="O213" s="13">
        <v>2.0</v>
      </c>
      <c r="P213" s="13" t="s">
        <v>23</v>
      </c>
      <c r="Q213" s="13" t="s">
        <v>23</v>
      </c>
      <c r="R213" s="13">
        <v>1.0</v>
      </c>
      <c r="S213" s="13" t="s">
        <v>23</v>
      </c>
      <c r="T213" s="13" t="s">
        <v>23</v>
      </c>
      <c r="U213" s="13" t="s">
        <v>23</v>
      </c>
    </row>
    <row r="214">
      <c r="A214" s="9" t="str">
        <f>HYPERLINK("https://docs.google.com/spreadsheets/d/1LR80O0PvsOvoTuN5gHQd3Rls4b1rZmJd7EZ_DR2oRHs/edit?usp=sharing","Michael Snow")</f>
        <v>Michael Snow</v>
      </c>
      <c r="B214" s="10">
        <v>26.0</v>
      </c>
      <c r="C214" s="10">
        <v>14.0</v>
      </c>
      <c r="D214" s="10">
        <v>9.0</v>
      </c>
      <c r="E214" s="11">
        <v>1.56</v>
      </c>
      <c r="F214" s="12">
        <v>0.0339</v>
      </c>
      <c r="G214" s="10">
        <v>25.0</v>
      </c>
      <c r="H214" s="10">
        <v>3.0</v>
      </c>
      <c r="I214" s="10" t="s">
        <v>9</v>
      </c>
      <c r="J214" s="10" t="s">
        <v>84</v>
      </c>
      <c r="K214" s="10" t="s">
        <v>69</v>
      </c>
      <c r="L214" s="13">
        <v>2.0</v>
      </c>
      <c r="M214" s="13">
        <v>2.0</v>
      </c>
      <c r="N214" s="13" t="s">
        <v>23</v>
      </c>
      <c r="O214" s="13">
        <v>7.0</v>
      </c>
      <c r="P214" s="10" t="s">
        <v>23</v>
      </c>
      <c r="Q214" s="10" t="s">
        <v>23</v>
      </c>
      <c r="R214" s="10"/>
      <c r="S214" s="10" t="s">
        <v>23</v>
      </c>
      <c r="T214" s="10"/>
      <c r="U214" s="10" t="s">
        <v>23</v>
      </c>
    </row>
    <row r="215">
      <c r="A215" s="9" t="str">
        <f>HYPERLINK("https://docs.google.com/spreadsheets/d/1HA0vQC0CSnQtVc8u58vwNd3sIFCc79SKVqM1abMG1hI/edit?usp=sharing","Hali Ford")</f>
        <v>Hali Ford</v>
      </c>
      <c r="B215" s="10">
        <v>30.0</v>
      </c>
      <c r="C215" s="10">
        <v>14.0</v>
      </c>
      <c r="D215" s="10">
        <v>8.0</v>
      </c>
      <c r="E215" s="11">
        <v>1.75</v>
      </c>
      <c r="F215" s="12">
        <v>0.0306</v>
      </c>
      <c r="G215" s="10">
        <v>22.0</v>
      </c>
      <c r="H215" s="10" t="s">
        <v>23</v>
      </c>
      <c r="I215" s="10" t="s">
        <v>9</v>
      </c>
      <c r="J215" s="10" t="s">
        <v>84</v>
      </c>
      <c r="K215" s="10" t="s">
        <v>85</v>
      </c>
      <c r="L215" s="13">
        <v>4.0</v>
      </c>
      <c r="M215" s="13">
        <v>3.0</v>
      </c>
      <c r="N215" s="13" t="s">
        <v>23</v>
      </c>
      <c r="O215" s="13">
        <v>5.0</v>
      </c>
      <c r="P215" s="10" t="s">
        <v>23</v>
      </c>
      <c r="Q215" s="10" t="s">
        <v>23</v>
      </c>
      <c r="R215" s="10"/>
      <c r="S215" s="10" t="s">
        <v>23</v>
      </c>
      <c r="T215" s="10"/>
      <c r="U215" s="10" t="s">
        <v>23</v>
      </c>
    </row>
    <row r="216">
      <c r="A216" s="15" t="str">
        <f>HYPERLINK("https://docs.google.com/spreadsheets/d/1Hf_PbZTXAuooCoiF7c3Bz80t5-zCjdWHF8wQ_HyodNs/edit?usp=sharing","Desiree Afuye")</f>
        <v>Desiree Afuye</v>
      </c>
      <c r="B216" s="13">
        <v>36.0</v>
      </c>
      <c r="C216" s="13">
        <v>14.0</v>
      </c>
      <c r="D216" s="13">
        <v>10.0</v>
      </c>
      <c r="E216" s="16">
        <v>1.4</v>
      </c>
      <c r="F216" s="17">
        <v>0.0356</v>
      </c>
      <c r="G216" s="13">
        <v>27.0</v>
      </c>
      <c r="H216" s="13"/>
      <c r="I216" s="13" t="s">
        <v>9</v>
      </c>
      <c r="J216" s="13" t="s">
        <v>43</v>
      </c>
      <c r="K216" s="13" t="s">
        <v>69</v>
      </c>
      <c r="L216" s="13">
        <v>3.0</v>
      </c>
      <c r="M216" s="13">
        <v>4.0</v>
      </c>
      <c r="N216" s="13" t="s">
        <v>23</v>
      </c>
      <c r="O216" s="13">
        <v>6.0</v>
      </c>
      <c r="P216" s="13" t="s">
        <v>23</v>
      </c>
      <c r="Q216" s="13" t="s">
        <v>23</v>
      </c>
      <c r="R216" s="13"/>
      <c r="S216" s="13" t="s">
        <v>23</v>
      </c>
      <c r="T216" s="13" t="s">
        <v>23</v>
      </c>
      <c r="U216" s="13" t="s">
        <v>23</v>
      </c>
    </row>
    <row r="217">
      <c r="A217" s="18" t="s">
        <v>134</v>
      </c>
      <c r="B217" s="13">
        <v>40.0</v>
      </c>
      <c r="C217" s="13">
        <v>14.0</v>
      </c>
      <c r="D217" s="13">
        <v>15.0</v>
      </c>
      <c r="E217" s="16">
        <v>0.93</v>
      </c>
      <c r="F217" s="17">
        <v>0.0244</v>
      </c>
      <c r="G217" s="13" t="s">
        <v>135</v>
      </c>
      <c r="H217" s="13">
        <v>5.0</v>
      </c>
      <c r="I217" s="13" t="s">
        <v>9</v>
      </c>
      <c r="J217" s="13" t="s">
        <v>24</v>
      </c>
      <c r="K217" s="13" t="s">
        <v>100</v>
      </c>
      <c r="L217" s="13">
        <v>3.0</v>
      </c>
      <c r="M217" s="13">
        <v>4.0</v>
      </c>
      <c r="N217" s="13" t="s">
        <v>23</v>
      </c>
      <c r="O217" s="13">
        <v>5.0</v>
      </c>
      <c r="P217" s="13" t="s">
        <v>23</v>
      </c>
      <c r="Q217" s="13" t="s">
        <v>23</v>
      </c>
      <c r="R217" s="13">
        <v>1.0</v>
      </c>
      <c r="S217" s="13" t="s">
        <v>23</v>
      </c>
      <c r="T217" s="13">
        <v>2.0</v>
      </c>
      <c r="U217" s="13" t="s">
        <v>23</v>
      </c>
    </row>
    <row r="218">
      <c r="A218" s="9" t="str">
        <f>HYPERLINK("https://docs.google.com/spreadsheets/d/1EsGJrNyA7pLwFUlZ6WfOkbnPz58Cle9N9c6epQSDRVA/edit?usp=sharing","Kimmi Kappenberg")</f>
        <v>Kimmi Kappenberg</v>
      </c>
      <c r="B218" s="10">
        <v>31.0</v>
      </c>
      <c r="C218" s="10">
        <v>13.0</v>
      </c>
      <c r="D218" s="10">
        <v>14.0</v>
      </c>
      <c r="E218" s="11">
        <v>0.93</v>
      </c>
      <c r="F218" s="12">
        <v>0.0297</v>
      </c>
      <c r="G218" s="10">
        <v>36.0</v>
      </c>
      <c r="H218" s="10">
        <v>7.0</v>
      </c>
      <c r="I218" s="10" t="s">
        <v>9</v>
      </c>
      <c r="J218" s="10" t="s">
        <v>40</v>
      </c>
      <c r="K218" s="10" t="s">
        <v>65</v>
      </c>
      <c r="L218" s="13">
        <v>5.0</v>
      </c>
      <c r="M218" s="13">
        <v>5.0</v>
      </c>
      <c r="N218" s="13" t="s">
        <v>23</v>
      </c>
      <c r="O218" s="13">
        <v>9.0</v>
      </c>
      <c r="P218" s="10" t="s">
        <v>23</v>
      </c>
      <c r="Q218" s="10" t="s">
        <v>23</v>
      </c>
      <c r="R218" s="10"/>
      <c r="S218" s="10" t="s">
        <v>23</v>
      </c>
      <c r="T218" s="10"/>
      <c r="U218" s="10" t="s">
        <v>23</v>
      </c>
    </row>
    <row r="219">
      <c r="A219" s="15" t="str">
        <f>HYPERLINK("https://docs.google.com/spreadsheets/d/1d8Hzm_QCJnDef8NF_dVYBZLjLjFI3Fl8Yt14m8Zhn8Y/edit?usp=sharing","Jenn Lyon")</f>
        <v>Jenn Lyon</v>
      </c>
      <c r="B219" s="13">
        <v>10.0</v>
      </c>
      <c r="C219" s="13">
        <v>13.0</v>
      </c>
      <c r="D219" s="13">
        <v>14.0</v>
      </c>
      <c r="E219" s="16">
        <v>0.93</v>
      </c>
      <c r="F219" s="17">
        <v>0.0304</v>
      </c>
      <c r="G219" s="13">
        <v>37.0</v>
      </c>
      <c r="H219" s="13">
        <v>5.0</v>
      </c>
      <c r="I219" s="13" t="s">
        <v>42</v>
      </c>
      <c r="J219" s="13" t="s">
        <v>37</v>
      </c>
      <c r="K219" s="13" t="s">
        <v>55</v>
      </c>
      <c r="L219" s="13">
        <v>9.0</v>
      </c>
      <c r="M219" s="13">
        <v>7.0</v>
      </c>
      <c r="N219" s="13" t="s">
        <v>23</v>
      </c>
      <c r="O219" s="13">
        <v>7.0</v>
      </c>
      <c r="P219" s="13" t="s">
        <v>23</v>
      </c>
      <c r="Q219" s="13" t="s">
        <v>23</v>
      </c>
      <c r="R219" s="13"/>
      <c r="S219" s="13" t="s">
        <v>23</v>
      </c>
      <c r="T219" s="13" t="s">
        <v>23</v>
      </c>
      <c r="U219" s="13" t="s">
        <v>23</v>
      </c>
    </row>
    <row r="220">
      <c r="A220" s="9" t="str">
        <f>HYPERLINK("https://docs.google.com/spreadsheets/d/1tPYt5CqjX32YXnh0BRsechvszEP2n4_ePabpiRTSzqE/edit?usp=sharing","Darrah Johnson")</f>
        <v>Darrah Johnson</v>
      </c>
      <c r="B220" s="10">
        <v>7.0</v>
      </c>
      <c r="C220" s="10">
        <v>13.0</v>
      </c>
      <c r="D220" s="10">
        <v>14.0</v>
      </c>
      <c r="E220" s="11">
        <v>0.93</v>
      </c>
      <c r="F220" s="12">
        <v>0.0259</v>
      </c>
      <c r="G220" s="10">
        <v>37.0</v>
      </c>
      <c r="H220" s="10">
        <v>4.0</v>
      </c>
      <c r="I220" s="10" t="s">
        <v>9</v>
      </c>
      <c r="J220" s="10" t="s">
        <v>37</v>
      </c>
      <c r="K220" s="10" t="s">
        <v>38</v>
      </c>
      <c r="L220" s="13">
        <v>2.0</v>
      </c>
      <c r="M220" s="13">
        <v>3.0</v>
      </c>
      <c r="N220" s="13">
        <v>3.0</v>
      </c>
      <c r="O220" s="13">
        <v>11.0</v>
      </c>
      <c r="P220" s="10" t="s">
        <v>23</v>
      </c>
      <c r="Q220" s="10" t="s">
        <v>23</v>
      </c>
      <c r="R220" s="10"/>
      <c r="S220" s="10" t="s">
        <v>23</v>
      </c>
      <c r="T220" s="10"/>
      <c r="U220" s="10" t="s">
        <v>23</v>
      </c>
    </row>
    <row r="221">
      <c r="A221" s="9" t="str">
        <f>HYPERLINK("https://docs.google.com/spreadsheets/d/1nYlVL4RxK2ZUH-a4MfKCalHyEjDRWz2ZumhyoaYsjTE/edit?usp=sharing","Dan Lembo")</f>
        <v>Dan Lembo</v>
      </c>
      <c r="B221" s="10">
        <v>21.0</v>
      </c>
      <c r="C221" s="10">
        <v>13.0</v>
      </c>
      <c r="D221" s="10">
        <v>14.0</v>
      </c>
      <c r="E221" s="11">
        <v>0.93</v>
      </c>
      <c r="F221" s="12">
        <v>0.0313</v>
      </c>
      <c r="G221" s="10">
        <v>37.0</v>
      </c>
      <c r="H221" s="10">
        <v>4.0</v>
      </c>
      <c r="I221" s="10" t="s">
        <v>9</v>
      </c>
      <c r="J221" s="10" t="s">
        <v>40</v>
      </c>
      <c r="K221" s="10" t="s">
        <v>67</v>
      </c>
      <c r="L221" s="13">
        <v>6.0</v>
      </c>
      <c r="M221" s="13">
        <v>2.0</v>
      </c>
      <c r="N221" s="13" t="s">
        <v>23</v>
      </c>
      <c r="O221" s="13">
        <v>11.0</v>
      </c>
      <c r="P221" s="10" t="s">
        <v>23</v>
      </c>
      <c r="Q221" s="10" t="s">
        <v>23</v>
      </c>
      <c r="R221" s="10"/>
      <c r="S221" s="10" t="s">
        <v>23</v>
      </c>
      <c r="T221" s="10"/>
      <c r="U221" s="10" t="s">
        <v>23</v>
      </c>
    </row>
    <row r="222">
      <c r="A222" s="9" t="str">
        <f>HYPERLINK("https://docs.google.com/spreadsheets/d/1LR80O0PvsOvoTuN5gHQd3Rls4b1rZmJd7EZ_DR2oRHs/edit?usp=sharing","Brenda Lowe")</f>
        <v>Brenda Lowe</v>
      </c>
      <c r="B222" s="10">
        <v>26.0</v>
      </c>
      <c r="C222" s="10">
        <v>13.0</v>
      </c>
      <c r="D222" s="10">
        <v>13.0</v>
      </c>
      <c r="E222" s="11">
        <v>1.0</v>
      </c>
      <c r="F222" s="12">
        <v>0.0315</v>
      </c>
      <c r="G222" s="10">
        <v>36.0</v>
      </c>
      <c r="H222" s="10">
        <v>8.0</v>
      </c>
      <c r="I222" s="10" t="s">
        <v>9</v>
      </c>
      <c r="J222" s="10" t="s">
        <v>37</v>
      </c>
      <c r="K222" s="10" t="s">
        <v>65</v>
      </c>
      <c r="L222" s="13">
        <v>8.0</v>
      </c>
      <c r="M222" s="13">
        <v>5.0</v>
      </c>
      <c r="N222" s="13">
        <v>1.0</v>
      </c>
      <c r="O222" s="13">
        <v>9.0</v>
      </c>
      <c r="P222" s="10" t="s">
        <v>23</v>
      </c>
      <c r="Q222" s="10" t="s">
        <v>23</v>
      </c>
      <c r="R222" s="10"/>
      <c r="S222" s="10" t="s">
        <v>23</v>
      </c>
      <c r="T222" s="10"/>
      <c r="U222" s="10" t="s">
        <v>23</v>
      </c>
    </row>
    <row r="223">
      <c r="A223" s="9" t="str">
        <f>HYPERLINK("https://docs.google.com/spreadsheets/d/1v6gXy2rHfH0CkzT8zUZyZm6b-WimbnBspkh1B5hksu4/edit?usp=sharing","Michael Jefferson")</f>
        <v>Michael Jefferson</v>
      </c>
      <c r="B223" s="10">
        <v>24.0</v>
      </c>
      <c r="C223" s="10">
        <v>12.0</v>
      </c>
      <c r="D223" s="10">
        <v>8.0</v>
      </c>
      <c r="E223" s="11">
        <v>1.5</v>
      </c>
      <c r="F223" s="12">
        <v>0.0314</v>
      </c>
      <c r="G223" s="10">
        <v>22.0</v>
      </c>
      <c r="H223" s="10">
        <v>3.0</v>
      </c>
      <c r="I223" s="10" t="s">
        <v>9</v>
      </c>
      <c r="J223" s="10" t="s">
        <v>48</v>
      </c>
      <c r="K223" s="10" t="s">
        <v>85</v>
      </c>
      <c r="L223" s="13">
        <v>6.0</v>
      </c>
      <c r="M223" s="13">
        <v>3.0</v>
      </c>
      <c r="N223" s="13" t="s">
        <v>23</v>
      </c>
      <c r="O223" s="13">
        <v>4.0</v>
      </c>
      <c r="P223" s="10" t="s">
        <v>23</v>
      </c>
      <c r="Q223" s="10" t="s">
        <v>23</v>
      </c>
      <c r="R223" s="10"/>
      <c r="S223" s="10" t="s">
        <v>23</v>
      </c>
      <c r="T223" s="10"/>
      <c r="U223" s="10" t="s">
        <v>23</v>
      </c>
    </row>
    <row r="224">
      <c r="A224" s="9" t="str">
        <f>HYPERLINK("https://docs.google.com/spreadsheets/d/1y7awzkkkaNlh7XKjc44AGriTvqB9H3pVz8cFLyIYdbo/edit?usp=sharing","Jeremiah Wood")</f>
        <v>Jeremiah Wood</v>
      </c>
      <c r="B224" s="10">
        <v>28.0</v>
      </c>
      <c r="C224" s="10">
        <v>12.0</v>
      </c>
      <c r="D224" s="10">
        <v>10.0</v>
      </c>
      <c r="E224" s="11">
        <v>1.2</v>
      </c>
      <c r="F224" s="12">
        <v>0.0261</v>
      </c>
      <c r="G224" s="10">
        <v>28.0</v>
      </c>
      <c r="H224" s="10">
        <v>3.0</v>
      </c>
      <c r="I224" s="10" t="s">
        <v>9</v>
      </c>
      <c r="J224" s="10" t="s">
        <v>58</v>
      </c>
      <c r="K224" s="10" t="s">
        <v>47</v>
      </c>
      <c r="L224" s="13">
        <v>7.0</v>
      </c>
      <c r="M224" s="13">
        <v>4.0</v>
      </c>
      <c r="N224" s="13" t="s">
        <v>23</v>
      </c>
      <c r="O224" s="13">
        <v>6.0</v>
      </c>
      <c r="P224" s="10" t="s">
        <v>23</v>
      </c>
      <c r="Q224" s="10" t="s">
        <v>23</v>
      </c>
      <c r="R224" s="10"/>
      <c r="S224" s="10" t="s">
        <v>23</v>
      </c>
      <c r="T224" s="10"/>
      <c r="U224" s="10" t="s">
        <v>23</v>
      </c>
    </row>
    <row r="225">
      <c r="A225" s="15" t="str">
        <f>HYPERLINK("https://docs.google.com/spreadsheets/d/1Hf_PbZTXAuooCoiF7c3Bz80t5-zCjdWHF8wQ_HyodNs/edit?usp=sharing","Sebastian Noel")</f>
        <v>Sebastian Noel</v>
      </c>
      <c r="B225" s="13">
        <v>36.0</v>
      </c>
      <c r="C225" s="13">
        <v>12.0</v>
      </c>
      <c r="D225" s="13">
        <v>14.0</v>
      </c>
      <c r="E225" s="16">
        <v>0.86</v>
      </c>
      <c r="F225" s="17">
        <v>0.0305</v>
      </c>
      <c r="G225" s="13">
        <v>36.0</v>
      </c>
      <c r="H225" s="13">
        <v>5.0</v>
      </c>
      <c r="I225" s="13" t="s">
        <v>9</v>
      </c>
      <c r="J225" s="13" t="s">
        <v>40</v>
      </c>
      <c r="K225" s="13" t="s">
        <v>65</v>
      </c>
      <c r="L225" s="13">
        <v>7.0</v>
      </c>
      <c r="M225" s="13">
        <v>5.0</v>
      </c>
      <c r="N225" s="13" t="s">
        <v>23</v>
      </c>
      <c r="O225" s="13">
        <v>9.0</v>
      </c>
      <c r="P225" s="13">
        <v>1.0</v>
      </c>
      <c r="Q225" s="13" t="s">
        <v>23</v>
      </c>
      <c r="R225" s="13"/>
      <c r="S225" s="13" t="s">
        <v>23</v>
      </c>
      <c r="T225" s="13">
        <v>1.0</v>
      </c>
      <c r="U225" s="13" t="s">
        <v>23</v>
      </c>
    </row>
    <row r="226">
      <c r="A226" s="15" t="str">
        <f>HYPERLINK("https://docs.google.com/spreadsheets/d/1Hf_PbZTXAuooCoiF7c3Bz80t5-zCjdWHF8wQ_HyodNs/edit?usp=sharing","Jenna Bowman")</f>
        <v>Jenna Bowman</v>
      </c>
      <c r="B226" s="13">
        <v>36.0</v>
      </c>
      <c r="C226" s="13">
        <v>12.0</v>
      </c>
      <c r="D226" s="13">
        <v>11.0</v>
      </c>
      <c r="E226" s="16">
        <v>1.09</v>
      </c>
      <c r="F226" s="17">
        <v>0.0305</v>
      </c>
      <c r="G226" s="13">
        <v>29.0</v>
      </c>
      <c r="H226" s="13">
        <v>3.0</v>
      </c>
      <c r="I226" s="13" t="s">
        <v>9</v>
      </c>
      <c r="J226" s="13" t="s">
        <v>58</v>
      </c>
      <c r="K226" s="13" t="s">
        <v>86</v>
      </c>
      <c r="L226" s="13">
        <v>5.0</v>
      </c>
      <c r="M226" s="13">
        <v>3.0</v>
      </c>
      <c r="N226" s="13" t="s">
        <v>23</v>
      </c>
      <c r="O226" s="13">
        <v>8.0</v>
      </c>
      <c r="P226" s="13">
        <v>1.0</v>
      </c>
      <c r="Q226" s="13" t="s">
        <v>23</v>
      </c>
      <c r="R226" s="13"/>
      <c r="S226" s="13" t="s">
        <v>23</v>
      </c>
      <c r="T226" s="13" t="s">
        <v>23</v>
      </c>
      <c r="U226" s="13" t="s">
        <v>23</v>
      </c>
    </row>
    <row r="227">
      <c r="A227" s="15" t="str">
        <f>HYPERLINK("https://docs.google.com/spreadsheets/d/1Hf_PbZTXAuooCoiF7c3Bz80t5-zCjdWHF8wQ_HyodNs/edit?usp=sharing","Libby Vincek")</f>
        <v>Libby Vincek</v>
      </c>
      <c r="B227" s="13">
        <v>36.0</v>
      </c>
      <c r="C227" s="13">
        <v>11.0</v>
      </c>
      <c r="D227" s="13">
        <v>9.0</v>
      </c>
      <c r="E227" s="16">
        <v>1.22</v>
      </c>
      <c r="F227" s="17">
        <v>0.028</v>
      </c>
      <c r="G227" s="13">
        <v>25.0</v>
      </c>
      <c r="H227" s="13">
        <v>5.0</v>
      </c>
      <c r="I227" s="13" t="s">
        <v>9</v>
      </c>
      <c r="J227" s="13" t="s">
        <v>48</v>
      </c>
      <c r="K227" s="13" t="s">
        <v>82</v>
      </c>
      <c r="L227" s="13">
        <v>6.0</v>
      </c>
      <c r="M227" s="13">
        <v>3.0</v>
      </c>
      <c r="N227" s="13" t="s">
        <v>23</v>
      </c>
      <c r="O227" s="13">
        <v>6.0</v>
      </c>
      <c r="P227" s="13" t="s">
        <v>23</v>
      </c>
      <c r="Q227" s="13" t="s">
        <v>23</v>
      </c>
      <c r="R227" s="13"/>
      <c r="S227" s="13" t="s">
        <v>23</v>
      </c>
      <c r="T227" s="13" t="s">
        <v>23</v>
      </c>
      <c r="U227" s="13" t="s">
        <v>23</v>
      </c>
    </row>
    <row r="228">
      <c r="A228" s="15" t="str">
        <f>HYPERLINK("https://docs.google.com/spreadsheets/d/1ZajpFwOHrMmupCcACeLhLTzPOwhTrjKRR1FJtUgeLww/edit?usp=sharing","Sunday Burquest")</f>
        <v>Sunday Burquest</v>
      </c>
      <c r="B228" s="13">
        <v>33.0</v>
      </c>
      <c r="C228" s="13">
        <v>10.0</v>
      </c>
      <c r="D228" s="13">
        <v>13.0</v>
      </c>
      <c r="E228" s="16">
        <v>0.77</v>
      </c>
      <c r="F228" s="17">
        <v>0.023</v>
      </c>
      <c r="G228" s="13">
        <v>35.0</v>
      </c>
      <c r="H228" s="13">
        <v>6.0</v>
      </c>
      <c r="I228" s="13" t="s">
        <v>9</v>
      </c>
      <c r="J228" s="13" t="s">
        <v>24</v>
      </c>
      <c r="K228" s="13" t="s">
        <v>44</v>
      </c>
      <c r="L228" s="13">
        <v>9.0</v>
      </c>
      <c r="M228" s="13">
        <v>3.0</v>
      </c>
      <c r="N228" s="13" t="s">
        <v>23</v>
      </c>
      <c r="O228" s="13">
        <v>11.0</v>
      </c>
      <c r="P228" s="13" t="s">
        <v>23</v>
      </c>
      <c r="Q228" s="13" t="s">
        <v>23</v>
      </c>
      <c r="R228" s="13"/>
      <c r="S228" s="13" t="s">
        <v>23</v>
      </c>
      <c r="T228" s="13" t="s">
        <v>23</v>
      </c>
      <c r="U228" s="13" t="s">
        <v>23</v>
      </c>
    </row>
    <row r="229">
      <c r="A229" s="15" t="str">
        <f>HYPERLINK("https://docs.google.com/spreadsheets/d/1ZajpFwOHrMmupCcACeLhLTzPOwhTrjKRR1FJtUgeLww/edit?usp=sharing","Michelle Schubert")</f>
        <v>Michelle Schubert</v>
      </c>
      <c r="B229" s="13">
        <v>33.0</v>
      </c>
      <c r="C229" s="13">
        <v>10.0</v>
      </c>
      <c r="D229" s="13">
        <v>8.0</v>
      </c>
      <c r="E229" s="16">
        <v>1.25</v>
      </c>
      <c r="F229" s="17">
        <v>0.023</v>
      </c>
      <c r="G229" s="13">
        <v>23.0</v>
      </c>
      <c r="H229" s="13">
        <v>3.0</v>
      </c>
      <c r="I229" s="13" t="s">
        <v>9</v>
      </c>
      <c r="J229" s="13" t="s">
        <v>84</v>
      </c>
      <c r="K229" s="13" t="s">
        <v>100</v>
      </c>
      <c r="L229" s="13">
        <v>5.0</v>
      </c>
      <c r="M229" s="13">
        <v>5.0</v>
      </c>
      <c r="N229" s="13" t="s">
        <v>23</v>
      </c>
      <c r="O229" s="13">
        <v>3.0</v>
      </c>
      <c r="P229" s="13" t="s">
        <v>23</v>
      </c>
      <c r="Q229" s="13" t="s">
        <v>23</v>
      </c>
      <c r="R229" s="13"/>
      <c r="S229" s="13" t="s">
        <v>23</v>
      </c>
      <c r="T229" s="13" t="s">
        <v>23</v>
      </c>
      <c r="U229" s="13" t="s">
        <v>23</v>
      </c>
    </row>
    <row r="230">
      <c r="A230" s="9" t="str">
        <f>HYPERLINK("https://docs.google.com/spreadsheets/d/1iNFGyKFcJm-tPp7Dg94yi7mHCDbJssmAD_PiaDM_tAE/edit?usp=sharing","Wes Nale")</f>
        <v>Wes Nale</v>
      </c>
      <c r="B230" s="10">
        <v>29.0</v>
      </c>
      <c r="C230" s="10">
        <v>9.0</v>
      </c>
      <c r="D230" s="10">
        <v>10.0</v>
      </c>
      <c r="E230" s="11">
        <v>0.9</v>
      </c>
      <c r="F230" s="12">
        <v>0.0202</v>
      </c>
      <c r="G230" s="10">
        <v>26.0</v>
      </c>
      <c r="H230" s="10">
        <v>4.0</v>
      </c>
      <c r="I230" s="10" t="s">
        <v>9</v>
      </c>
      <c r="J230" s="10" t="s">
        <v>43</v>
      </c>
      <c r="K230" s="10" t="s">
        <v>83</v>
      </c>
      <c r="L230" s="23">
        <v>4.0</v>
      </c>
      <c r="M230" s="23">
        <v>3.0</v>
      </c>
      <c r="N230" s="23" t="s">
        <v>23</v>
      </c>
      <c r="O230" s="23">
        <v>6.0</v>
      </c>
      <c r="P230" s="23">
        <v>1.0</v>
      </c>
      <c r="Q230" s="23" t="s">
        <v>23</v>
      </c>
      <c r="R230" s="23"/>
      <c r="S230" s="13" t="s">
        <v>23</v>
      </c>
      <c r="T230" s="13"/>
      <c r="U230" s="10" t="s">
        <v>23</v>
      </c>
    </row>
    <row r="231">
      <c r="A231" s="15" t="str">
        <f>HYPERLINK("https://docs.google.com/spreadsheets/d/1tElnwN2HVf964gGw8Ei53RyfjarS40wkDY3zivAPWp0/edit?usp=sharing","Hali Ford")</f>
        <v>Hali Ford</v>
      </c>
      <c r="B231" s="13">
        <v>34.0</v>
      </c>
      <c r="C231" s="13">
        <v>9.0</v>
      </c>
      <c r="D231" s="13">
        <v>8.0</v>
      </c>
      <c r="E231" s="16">
        <v>1.13</v>
      </c>
      <c r="F231" s="17">
        <v>0.0218</v>
      </c>
      <c r="G231" s="13">
        <v>21.0</v>
      </c>
      <c r="H231" s="13">
        <v>3.0</v>
      </c>
      <c r="I231" s="13" t="s">
        <v>9</v>
      </c>
      <c r="J231" s="13" t="s">
        <v>84</v>
      </c>
      <c r="K231" s="13" t="s">
        <v>100</v>
      </c>
      <c r="L231" s="13">
        <v>2.0</v>
      </c>
      <c r="M231" s="13">
        <v>3.0</v>
      </c>
      <c r="N231" s="13" t="s">
        <v>23</v>
      </c>
      <c r="O231" s="13">
        <v>5.0</v>
      </c>
      <c r="P231" s="13" t="s">
        <v>23</v>
      </c>
      <c r="Q231" s="13" t="s">
        <v>23</v>
      </c>
      <c r="R231" s="13"/>
      <c r="S231" s="13" t="s">
        <v>23</v>
      </c>
      <c r="T231" s="13" t="s">
        <v>23</v>
      </c>
      <c r="U231" s="13" t="s">
        <v>23</v>
      </c>
    </row>
    <row r="232">
      <c r="A232" s="9" t="str">
        <f>HYPERLINK("https://docs.google.com/spreadsheets/d/1OvIOVR4AMBMcafVt9o6KEur-eEFhew1kw_KUv3DV3Xs/edit?usp=sharing","Rick Nelson")</f>
        <v>Rick Nelson</v>
      </c>
      <c r="B232" s="10">
        <v>23.0</v>
      </c>
      <c r="C232" s="10">
        <v>8.0</v>
      </c>
      <c r="D232" s="10">
        <v>14.0</v>
      </c>
      <c r="E232" s="11">
        <v>0.57</v>
      </c>
      <c r="F232" s="12">
        <v>0.02</v>
      </c>
      <c r="G232" s="10">
        <v>37.0</v>
      </c>
      <c r="H232" s="10">
        <v>9.0</v>
      </c>
      <c r="I232" s="10" t="s">
        <v>9</v>
      </c>
      <c r="J232" s="10" t="s">
        <v>40</v>
      </c>
      <c r="K232" s="10" t="s">
        <v>70</v>
      </c>
      <c r="L232" s="13">
        <v>5.0</v>
      </c>
      <c r="M232" s="13">
        <v>4.0</v>
      </c>
      <c r="N232" s="13" t="s">
        <v>23</v>
      </c>
      <c r="O232" s="13">
        <v>12.0</v>
      </c>
      <c r="P232" s="13" t="s">
        <v>23</v>
      </c>
      <c r="Q232" s="13" t="s">
        <v>23</v>
      </c>
      <c r="R232" s="13"/>
      <c r="S232" s="10" t="s">
        <v>23</v>
      </c>
      <c r="T232" s="10"/>
      <c r="U232" s="10" t="s">
        <v>23</v>
      </c>
    </row>
    <row r="233">
      <c r="A233" s="15" t="str">
        <f>HYPERLINK("https://docs.google.com/spreadsheets/d/1tElnwN2HVf964gGw8Ei53RyfjarS40wkDY3zivAPWp0/edit?usp=sharing","Ozzy Lusth")</f>
        <v>Ozzy Lusth</v>
      </c>
      <c r="B233" s="13">
        <v>34.0</v>
      </c>
      <c r="C233" s="13">
        <v>8.0</v>
      </c>
      <c r="D233" s="13">
        <v>9.0</v>
      </c>
      <c r="E233" s="16">
        <v>0.89</v>
      </c>
      <c r="F233" s="17">
        <v>0.0194</v>
      </c>
      <c r="G233" s="13">
        <v>24.0</v>
      </c>
      <c r="H233" s="13">
        <v>3.0</v>
      </c>
      <c r="I233" s="13" t="s">
        <v>9</v>
      </c>
      <c r="J233" s="13" t="s">
        <v>48</v>
      </c>
      <c r="K233" s="13" t="s">
        <v>82</v>
      </c>
      <c r="L233" s="13">
        <v>7.0</v>
      </c>
      <c r="M233" s="13">
        <v>5.0</v>
      </c>
      <c r="N233" s="13" t="s">
        <v>23</v>
      </c>
      <c r="O233" s="13">
        <v>4.0</v>
      </c>
      <c r="P233" s="13" t="s">
        <v>23</v>
      </c>
      <c r="Q233" s="13" t="s">
        <v>23</v>
      </c>
      <c r="R233" s="13"/>
      <c r="S233" s="13" t="s">
        <v>23</v>
      </c>
      <c r="T233" s="13" t="s">
        <v>23</v>
      </c>
      <c r="U233" s="13" t="s">
        <v>23</v>
      </c>
    </row>
    <row r="234">
      <c r="A234" s="9" t="str">
        <f>HYPERLINK("https://docs.google.com/spreadsheets/d/1ReMaq-fM8zzflOjjrMrgnxEsdZxPIPIJqiZ9cCLO3cE/edit?usp=sharing","Carter Williams")</f>
        <v>Carter Williams</v>
      </c>
      <c r="B234" s="10">
        <v>25.0</v>
      </c>
      <c r="C234" s="10">
        <v>8.0</v>
      </c>
      <c r="D234" s="10">
        <v>12.0</v>
      </c>
      <c r="E234" s="11">
        <v>0.67</v>
      </c>
      <c r="F234" s="12">
        <v>0.0184</v>
      </c>
      <c r="G234" s="10">
        <v>33.0</v>
      </c>
      <c r="H234" s="10">
        <v>8.0</v>
      </c>
      <c r="I234" s="10" t="s">
        <v>9</v>
      </c>
      <c r="J234" s="10" t="s">
        <v>37</v>
      </c>
      <c r="K234" s="10" t="s">
        <v>56</v>
      </c>
      <c r="L234" s="13">
        <v>9.0</v>
      </c>
      <c r="M234" s="13">
        <v>4.0</v>
      </c>
      <c r="N234" s="13">
        <v>2.0</v>
      </c>
      <c r="O234" s="13">
        <v>8.0</v>
      </c>
      <c r="P234" s="10" t="s">
        <v>23</v>
      </c>
      <c r="Q234" s="10" t="s">
        <v>23</v>
      </c>
      <c r="R234" s="10"/>
      <c r="S234" s="10" t="s">
        <v>23</v>
      </c>
      <c r="T234" s="10"/>
      <c r="U234" s="10" t="s">
        <v>23</v>
      </c>
    </row>
    <row r="235">
      <c r="A235" s="9" t="str">
        <f>HYPERLINK("https://docs.google.com/spreadsheets/d/1ReMaq-fM8zzflOjjrMrgnxEsdZxPIPIJqiZ9cCLO3cE/edit?usp=sharing","Artis Silvester")</f>
        <v>Artis Silvester</v>
      </c>
      <c r="B235" s="10">
        <v>25.0</v>
      </c>
      <c r="C235" s="10">
        <v>8.0</v>
      </c>
      <c r="D235" s="10">
        <v>9.0</v>
      </c>
      <c r="E235" s="11">
        <v>0.89</v>
      </c>
      <c r="F235" s="12">
        <v>0.0184</v>
      </c>
      <c r="G235" s="10">
        <v>25.0</v>
      </c>
      <c r="H235" s="10">
        <v>4.0</v>
      </c>
      <c r="I235" s="10" t="s">
        <v>9</v>
      </c>
      <c r="J235" s="10" t="s">
        <v>43</v>
      </c>
      <c r="K235" s="10" t="s">
        <v>83</v>
      </c>
      <c r="L235" s="13">
        <v>6.0</v>
      </c>
      <c r="M235" s="13">
        <v>6.0</v>
      </c>
      <c r="N235" s="13" t="s">
        <v>23</v>
      </c>
      <c r="O235" s="13">
        <v>3.0</v>
      </c>
      <c r="P235" s="10" t="s">
        <v>23</v>
      </c>
      <c r="Q235" s="10" t="s">
        <v>23</v>
      </c>
      <c r="R235" s="10"/>
      <c r="S235" s="10" t="s">
        <v>23</v>
      </c>
      <c r="T235" s="10"/>
      <c r="U235" s="10" t="s">
        <v>23</v>
      </c>
    </row>
    <row r="236">
      <c r="A236" s="15" t="str">
        <f>HYPERLINK("https://docs.google.com/spreadsheets/d/1q-5bbq9txg93Y0eUACxRPTIN5PuRjeDVpNDfeXEw4iE/edit?usp=sharing","Desiree ""Desi"" Williams")</f>
        <v>Desiree "Desi" Williams</v>
      </c>
      <c r="B236" s="13">
        <v>35.0</v>
      </c>
      <c r="C236" s="13">
        <v>8.0</v>
      </c>
      <c r="D236" s="13">
        <v>8.0</v>
      </c>
      <c r="E236" s="16">
        <v>1.0</v>
      </c>
      <c r="F236" s="17">
        <v>0.0186</v>
      </c>
      <c r="G236" s="13">
        <v>21.0</v>
      </c>
      <c r="H236" s="13">
        <v>2.0</v>
      </c>
      <c r="I236" s="13" t="s">
        <v>9</v>
      </c>
      <c r="J236" s="13" t="s">
        <v>84</v>
      </c>
      <c r="K236" s="13" t="s">
        <v>85</v>
      </c>
      <c r="L236" s="13">
        <v>5.0</v>
      </c>
      <c r="M236" s="13">
        <v>5.0</v>
      </c>
      <c r="N236" s="13">
        <v>1.0</v>
      </c>
      <c r="O236" s="13">
        <v>3.0</v>
      </c>
      <c r="P236" s="13" t="s">
        <v>23</v>
      </c>
      <c r="Q236" s="13" t="s">
        <v>23</v>
      </c>
      <c r="R236" s="13"/>
      <c r="S236" s="13" t="s">
        <v>23</v>
      </c>
      <c r="T236" s="13" t="s">
        <v>23</v>
      </c>
      <c r="U236" s="13" t="s">
        <v>23</v>
      </c>
    </row>
    <row r="237">
      <c r="A237" s="9" t="str">
        <f>HYPERLINK("https://docs.google.com/spreadsheets/d/1OvIOVR4AMBMcafVt9o6KEur-eEFhew1kw_KUv3DV3Xs/edit?usp=sharing","Keith Tollefson")</f>
        <v>Keith Tollefson</v>
      </c>
      <c r="B237" s="10">
        <v>23.0</v>
      </c>
      <c r="C237" s="10">
        <v>7.0</v>
      </c>
      <c r="D237" s="10">
        <v>10.0</v>
      </c>
      <c r="E237" s="11">
        <v>0.7</v>
      </c>
      <c r="F237" s="12">
        <v>0.0175</v>
      </c>
      <c r="G237" s="10">
        <v>25.0</v>
      </c>
      <c r="H237" s="10">
        <v>4.0</v>
      </c>
      <c r="I237" s="10" t="s">
        <v>9</v>
      </c>
      <c r="J237" s="10" t="s">
        <v>48</v>
      </c>
      <c r="K237" s="10" t="s">
        <v>85</v>
      </c>
      <c r="L237" s="13">
        <v>5.0</v>
      </c>
      <c r="M237" s="13">
        <v>3.0</v>
      </c>
      <c r="N237" s="13" t="s">
        <v>23</v>
      </c>
      <c r="O237" s="13">
        <v>5.0</v>
      </c>
      <c r="P237" s="13" t="s">
        <v>23</v>
      </c>
      <c r="Q237" s="13">
        <v>1.0</v>
      </c>
      <c r="R237" s="13"/>
      <c r="S237" s="10" t="s">
        <v>23</v>
      </c>
      <c r="T237" s="10"/>
      <c r="U237" s="10" t="s">
        <v>23</v>
      </c>
    </row>
    <row r="238">
      <c r="A238" s="9" t="str">
        <f>HYPERLINK("https://docs.google.com/spreadsheets/d/1nRsx7fR5xbH1eAbI_vBDvqXOgh7mXIwmZNhzrVL6oGM/edit?usp=sharing","Zoe Zanidakis")</f>
        <v>Zoe Zanidakis</v>
      </c>
      <c r="B238" s="10">
        <v>4.0</v>
      </c>
      <c r="C238" s="10">
        <v>6.0</v>
      </c>
      <c r="D238" s="10">
        <v>9.0</v>
      </c>
      <c r="E238" s="11">
        <v>0.67</v>
      </c>
      <c r="F238" s="12">
        <v>0.0126</v>
      </c>
      <c r="G238" s="10">
        <v>27.0</v>
      </c>
      <c r="H238" s="10">
        <v>5.0</v>
      </c>
      <c r="I238" s="10" t="s">
        <v>9</v>
      </c>
      <c r="J238" s="10" t="s">
        <v>48</v>
      </c>
      <c r="K238" s="10" t="s">
        <v>49</v>
      </c>
      <c r="L238" s="13">
        <v>2.0</v>
      </c>
      <c r="M238" s="13">
        <v>5.0</v>
      </c>
      <c r="N238" s="13" t="s">
        <v>23</v>
      </c>
      <c r="O238" s="13">
        <v>4.0</v>
      </c>
      <c r="P238" s="10" t="s">
        <v>23</v>
      </c>
      <c r="Q238" s="10" t="s">
        <v>23</v>
      </c>
      <c r="R238" s="10"/>
      <c r="S238" s="10" t="s">
        <v>23</v>
      </c>
      <c r="T238" s="10"/>
      <c r="U238" s="10" t="s">
        <v>23</v>
      </c>
    </row>
    <row r="239">
      <c r="A239" s="9" t="str">
        <f>HYPERLINK("https://docs.google.com/spreadsheets/d/1EsGJrNyA7pLwFUlZ6WfOkbnPz58Cle9N9c6epQSDRVA/edit?usp=sharing","Kelly Wiglesworth")</f>
        <v>Kelly Wiglesworth</v>
      </c>
      <c r="B239" s="10">
        <v>31.0</v>
      </c>
      <c r="C239" s="10">
        <v>5.0</v>
      </c>
      <c r="D239" s="10">
        <v>9.0</v>
      </c>
      <c r="E239" s="11">
        <v>0.56</v>
      </c>
      <c r="F239" s="12">
        <v>0.0114</v>
      </c>
      <c r="G239" s="10">
        <v>24.0</v>
      </c>
      <c r="H239" s="10">
        <v>6.0</v>
      </c>
      <c r="I239" s="10" t="s">
        <v>9</v>
      </c>
      <c r="J239" s="10" t="s">
        <v>43</v>
      </c>
      <c r="K239" s="10" t="s">
        <v>69</v>
      </c>
      <c r="L239" s="13">
        <v>4.0</v>
      </c>
      <c r="M239" s="13">
        <v>2.0</v>
      </c>
      <c r="N239" s="13" t="s">
        <v>23</v>
      </c>
      <c r="O239" s="13">
        <v>7.0</v>
      </c>
      <c r="P239" s="10" t="s">
        <v>23</v>
      </c>
      <c r="Q239" s="10" t="s">
        <v>23</v>
      </c>
      <c r="R239" s="10"/>
      <c r="S239" s="10" t="s">
        <v>23</v>
      </c>
      <c r="T239" s="10"/>
      <c r="U239" s="10" t="s">
        <v>23</v>
      </c>
    </row>
    <row r="240">
      <c r="A240" s="9" t="str">
        <f>HYPERLINK("https://docs.google.com/spreadsheets/d/1nYlVL4RxK2ZUH-a4MfKCalHyEjDRWz2ZumhyoaYsjTE/edit?usp=sharing","Kelly Shinn")</f>
        <v>Kelly Shinn</v>
      </c>
      <c r="B240" s="10">
        <v>21.0</v>
      </c>
      <c r="C240" s="10">
        <v>5.0</v>
      </c>
      <c r="D240" s="10">
        <v>11.0</v>
      </c>
      <c r="E240" s="11">
        <v>0.45</v>
      </c>
      <c r="F240" s="12">
        <v>0.012</v>
      </c>
      <c r="G240" s="10">
        <v>28.0</v>
      </c>
      <c r="H240" s="10">
        <v>9.0</v>
      </c>
      <c r="I240" s="10" t="s">
        <v>9</v>
      </c>
      <c r="J240" s="10" t="s">
        <v>46</v>
      </c>
      <c r="K240" s="10" t="s">
        <v>71</v>
      </c>
      <c r="L240" s="13">
        <v>6.0</v>
      </c>
      <c r="M240" s="13">
        <v>4.0</v>
      </c>
      <c r="N240" s="13" t="s">
        <v>23</v>
      </c>
      <c r="O240" s="13">
        <v>6.0</v>
      </c>
      <c r="P240" s="10" t="s">
        <v>23</v>
      </c>
      <c r="Q240" s="10" t="s">
        <v>23</v>
      </c>
      <c r="R240" s="10"/>
      <c r="S240" s="10" t="s">
        <v>23</v>
      </c>
      <c r="T240" s="10"/>
      <c r="U240" s="10" t="s">
        <v>64</v>
      </c>
    </row>
    <row r="241">
      <c r="A241" s="15" t="str">
        <f>HYPERLINK("https://docs.google.com/spreadsheets/d/1q-5bbq9txg93Y0eUACxRPTIN5PuRjeDVpNDfeXEw4iE/edit?usp=sharing","John ""JP"" Hilsabeck")</f>
        <v>John "JP" Hilsabeck</v>
      </c>
      <c r="B241" s="13">
        <v>35.0</v>
      </c>
      <c r="C241" s="13">
        <v>5.0</v>
      </c>
      <c r="D241" s="13">
        <v>10.0</v>
      </c>
      <c r="E241" s="16">
        <v>0.5</v>
      </c>
      <c r="F241" s="17">
        <v>0.0116</v>
      </c>
      <c r="G241" s="13">
        <v>27.0</v>
      </c>
      <c r="H241" s="13">
        <v>6.0</v>
      </c>
      <c r="I241" s="13" t="s">
        <v>9</v>
      </c>
      <c r="J241" s="13" t="s">
        <v>43</v>
      </c>
      <c r="K241" s="13" t="s">
        <v>83</v>
      </c>
      <c r="L241" s="13">
        <v>7.0</v>
      </c>
      <c r="M241" s="13">
        <v>3.0</v>
      </c>
      <c r="N241" s="13" t="s">
        <v>23</v>
      </c>
      <c r="O241" s="13">
        <v>7.0</v>
      </c>
      <c r="P241" s="13" t="s">
        <v>23</v>
      </c>
      <c r="Q241" s="13" t="s">
        <v>23</v>
      </c>
      <c r="R241" s="13"/>
      <c r="S241" s="13" t="s">
        <v>23</v>
      </c>
      <c r="T241" s="13" t="s">
        <v>23</v>
      </c>
      <c r="U241" s="13" t="s">
        <v>23</v>
      </c>
    </row>
    <row r="242">
      <c r="A242" s="9" t="str">
        <f>HYPERLINK("https://docs.google.com/spreadsheets/d/1OvIOVR4AMBMcafVt9o6KEur-eEFhew1kw_KUv3DV3Xs/edit?usp=sharing","Whitney Duncan")</f>
        <v>Whitney Duncan</v>
      </c>
      <c r="B242" s="10">
        <v>23.0</v>
      </c>
      <c r="C242" s="10">
        <v>4.0</v>
      </c>
      <c r="D242" s="10">
        <v>11.0</v>
      </c>
      <c r="E242" s="11">
        <v>0.36</v>
      </c>
      <c r="F242" s="12">
        <v>0.01</v>
      </c>
      <c r="G242" s="10">
        <v>28.0</v>
      </c>
      <c r="H242" s="10">
        <v>9.0</v>
      </c>
      <c r="I242" s="10" t="s">
        <v>9</v>
      </c>
      <c r="J242" s="10" t="s">
        <v>58</v>
      </c>
      <c r="K242" s="10" t="s">
        <v>83</v>
      </c>
      <c r="L242" s="13">
        <v>5.0</v>
      </c>
      <c r="M242" s="13">
        <v>3.0</v>
      </c>
      <c r="N242" s="13">
        <v>1.0</v>
      </c>
      <c r="O242" s="13">
        <v>9.0</v>
      </c>
      <c r="P242" s="13" t="s">
        <v>23</v>
      </c>
      <c r="Q242" s="13">
        <v>1.0</v>
      </c>
      <c r="R242" s="13"/>
      <c r="S242" s="10" t="s">
        <v>23</v>
      </c>
      <c r="T242" s="10"/>
      <c r="U242" s="10" t="s">
        <v>23</v>
      </c>
    </row>
    <row r="243">
      <c r="A243" s="9" t="str">
        <f>HYPERLINK("https://docs.google.com/spreadsheets/d/1v6gXy2rHfH0CkzT8zUZyZm6b-WimbnBspkh1B5hksu4/edit?usp=sharing","Leif Manson")</f>
        <v>Leif Manson</v>
      </c>
      <c r="B243" s="10">
        <v>24.0</v>
      </c>
      <c r="C243" s="10">
        <v>4.0</v>
      </c>
      <c r="D243" s="10">
        <v>10.0</v>
      </c>
      <c r="E243" s="11">
        <v>0.4</v>
      </c>
      <c r="F243" s="12">
        <v>0.0105</v>
      </c>
      <c r="G243" s="10">
        <v>27.0</v>
      </c>
      <c r="H243" s="10">
        <v>6.0</v>
      </c>
      <c r="I243" s="10" t="s">
        <v>9</v>
      </c>
      <c r="J243" s="10" t="s">
        <v>58</v>
      </c>
      <c r="K243" s="10" t="s">
        <v>83</v>
      </c>
      <c r="L243" s="13">
        <v>5.0</v>
      </c>
      <c r="M243" s="13">
        <v>2.0</v>
      </c>
      <c r="N243" s="13" t="s">
        <v>23</v>
      </c>
      <c r="O243" s="13">
        <v>7.0</v>
      </c>
      <c r="P243" s="10" t="s">
        <v>23</v>
      </c>
      <c r="Q243" s="10" t="s">
        <v>23</v>
      </c>
      <c r="R243" s="10"/>
      <c r="S243" s="10" t="s">
        <v>23</v>
      </c>
      <c r="T243" s="10"/>
      <c r="U243" s="10" t="s">
        <v>23</v>
      </c>
    </row>
    <row r="244">
      <c r="A244" s="15" t="str">
        <f>HYPERLINK("https://docs.google.com/spreadsheets/d/1Hf_PbZTXAuooCoiF7c3Bz80t5-zCjdWHF8wQ_HyodNs/edit?usp=sharing","Chelsea Townsend")</f>
        <v>Chelsea Townsend</v>
      </c>
      <c r="B244" s="13">
        <v>36.0</v>
      </c>
      <c r="C244" s="13">
        <v>4.0</v>
      </c>
      <c r="D244" s="13">
        <v>12.0</v>
      </c>
      <c r="E244" s="16">
        <v>0.33</v>
      </c>
      <c r="F244" s="17">
        <v>0.0102</v>
      </c>
      <c r="G244" s="13">
        <v>32.0</v>
      </c>
      <c r="H244" s="13">
        <v>8.0</v>
      </c>
      <c r="I244" s="13" t="s">
        <v>9</v>
      </c>
      <c r="J244" s="13" t="s">
        <v>37</v>
      </c>
      <c r="K244" s="13" t="s">
        <v>71</v>
      </c>
      <c r="L244" s="13">
        <v>6.0</v>
      </c>
      <c r="M244" s="13">
        <v>4.0</v>
      </c>
      <c r="N244" s="13">
        <v>2.0</v>
      </c>
      <c r="O244" s="13">
        <v>8.0</v>
      </c>
      <c r="P244" s="13" t="s">
        <v>23</v>
      </c>
      <c r="Q244" s="13" t="s">
        <v>23</v>
      </c>
      <c r="R244" s="13"/>
      <c r="S244" s="13" t="s">
        <v>23</v>
      </c>
      <c r="T244" s="13" t="s">
        <v>23</v>
      </c>
      <c r="U244" s="13" t="s">
        <v>23</v>
      </c>
    </row>
    <row r="245">
      <c r="B245" s="28"/>
      <c r="C245" s="28"/>
      <c r="D245" s="28"/>
      <c r="E245" s="29"/>
      <c r="F245" s="29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>
      <c r="B246" s="28"/>
      <c r="C246" s="28"/>
      <c r="D246" s="28"/>
      <c r="E246" s="29"/>
      <c r="F246" s="29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>
      <c r="B247" s="28"/>
      <c r="C247" s="28"/>
      <c r="D247" s="28"/>
      <c r="E247" s="29"/>
      <c r="F247" s="29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>
      <c r="B248" s="28"/>
      <c r="C248" s="28"/>
      <c r="D248" s="28"/>
      <c r="E248" s="29"/>
      <c r="F248" s="29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>
      <c r="B249" s="28"/>
      <c r="C249" s="28"/>
      <c r="D249" s="28"/>
      <c r="E249" s="29"/>
      <c r="F249" s="29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</row>
    <row r="250">
      <c r="B250" s="28"/>
      <c r="C250" s="28"/>
      <c r="D250" s="28"/>
      <c r="E250" s="29"/>
      <c r="F250" s="29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</row>
    <row r="251">
      <c r="B251" s="28"/>
      <c r="C251" s="28"/>
      <c r="D251" s="28"/>
      <c r="E251" s="29"/>
      <c r="F251" s="29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>
      <c r="B252" s="28"/>
      <c r="C252" s="28"/>
      <c r="D252" s="28"/>
      <c r="E252" s="29"/>
      <c r="F252" s="29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>
      <c r="B253" s="28"/>
      <c r="C253" s="28"/>
      <c r="D253" s="28"/>
      <c r="E253" s="29"/>
      <c r="F253" s="29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>
      <c r="B254" s="28"/>
      <c r="C254" s="28"/>
      <c r="D254" s="28"/>
      <c r="E254" s="29"/>
      <c r="F254" s="29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</row>
    <row r="255">
      <c r="B255" s="28"/>
      <c r="C255" s="28"/>
      <c r="D255" s="28"/>
      <c r="E255" s="29"/>
      <c r="F255" s="29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>
      <c r="B256" s="28"/>
      <c r="C256" s="28"/>
      <c r="D256" s="28"/>
      <c r="E256" s="29"/>
      <c r="F256" s="29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>
      <c r="B257" s="28"/>
      <c r="C257" s="28"/>
      <c r="D257" s="28"/>
      <c r="E257" s="29"/>
      <c r="F257" s="29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>
      <c r="B258" s="28"/>
      <c r="C258" s="28"/>
      <c r="D258" s="28"/>
      <c r="E258" s="29"/>
      <c r="F258" s="29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>
      <c r="B259" s="28"/>
      <c r="C259" s="28"/>
      <c r="D259" s="28"/>
      <c r="E259" s="29"/>
      <c r="F259" s="29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>
      <c r="B260" s="28"/>
      <c r="C260" s="28"/>
      <c r="D260" s="28"/>
      <c r="E260" s="29"/>
      <c r="F260" s="29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>
      <c r="B261" s="28"/>
      <c r="C261" s="28"/>
      <c r="D261" s="28"/>
      <c r="E261" s="29"/>
      <c r="F261" s="29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>
      <c r="B262" s="28"/>
      <c r="C262" s="28"/>
      <c r="D262" s="28"/>
      <c r="E262" s="29"/>
      <c r="F262" s="29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>
      <c r="B263" s="28"/>
      <c r="C263" s="28"/>
      <c r="D263" s="28"/>
      <c r="E263" s="29"/>
      <c r="F263" s="29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>
      <c r="B264" s="28"/>
      <c r="C264" s="28"/>
      <c r="D264" s="28"/>
      <c r="E264" s="29"/>
      <c r="F264" s="29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>
      <c r="B265" s="28"/>
      <c r="C265" s="28"/>
      <c r="D265" s="28"/>
      <c r="E265" s="29"/>
      <c r="F265" s="29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</row>
    <row r="266">
      <c r="B266" s="28"/>
      <c r="C266" s="28"/>
      <c r="D266" s="28"/>
      <c r="E266" s="29"/>
      <c r="F266" s="29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>
      <c r="B267" s="28"/>
      <c r="C267" s="28"/>
      <c r="D267" s="28"/>
      <c r="E267" s="29"/>
      <c r="F267" s="29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</row>
    <row r="268">
      <c r="B268" s="28"/>
      <c r="C268" s="28"/>
      <c r="D268" s="28"/>
      <c r="E268" s="29"/>
      <c r="F268" s="29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</row>
    <row r="269">
      <c r="B269" s="28"/>
      <c r="C269" s="28"/>
      <c r="D269" s="28"/>
      <c r="E269" s="29"/>
      <c r="F269" s="29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</row>
    <row r="270">
      <c r="B270" s="28"/>
      <c r="C270" s="28"/>
      <c r="D270" s="28"/>
      <c r="E270" s="29"/>
      <c r="F270" s="29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>
      <c r="B271" s="28"/>
      <c r="C271" s="28"/>
      <c r="D271" s="28"/>
      <c r="E271" s="29"/>
      <c r="F271" s="29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</row>
    <row r="272">
      <c r="B272" s="28"/>
      <c r="C272" s="28"/>
      <c r="D272" s="28"/>
      <c r="E272" s="29"/>
      <c r="F272" s="29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>
      <c r="B273" s="28"/>
      <c r="C273" s="28"/>
      <c r="D273" s="28"/>
      <c r="E273" s="29"/>
      <c r="F273" s="29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</row>
    <row r="274">
      <c r="B274" s="28"/>
      <c r="C274" s="28"/>
      <c r="D274" s="28"/>
      <c r="E274" s="29"/>
      <c r="F274" s="29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</row>
    <row r="275">
      <c r="B275" s="28"/>
      <c r="C275" s="28"/>
      <c r="D275" s="28"/>
      <c r="E275" s="29"/>
      <c r="F275" s="29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>
      <c r="B276" s="28"/>
      <c r="C276" s="28"/>
      <c r="D276" s="28"/>
      <c r="E276" s="29"/>
      <c r="F276" s="29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>
      <c r="B277" s="28"/>
      <c r="C277" s="28"/>
      <c r="D277" s="28"/>
      <c r="E277" s="29"/>
      <c r="F277" s="29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>
      <c r="B278" s="28"/>
      <c r="C278" s="28"/>
      <c r="D278" s="28"/>
      <c r="E278" s="29"/>
      <c r="F278" s="29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>
      <c r="B279" s="28"/>
      <c r="C279" s="28"/>
      <c r="D279" s="28"/>
      <c r="E279" s="29"/>
      <c r="F279" s="29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</row>
    <row r="280">
      <c r="B280" s="28"/>
      <c r="C280" s="28"/>
      <c r="D280" s="28"/>
      <c r="E280" s="29"/>
      <c r="F280" s="29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>
      <c r="B281" s="28"/>
      <c r="C281" s="28"/>
      <c r="D281" s="28"/>
      <c r="E281" s="29"/>
      <c r="F281" s="29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</row>
    <row r="282">
      <c r="B282" s="28"/>
      <c r="C282" s="28"/>
      <c r="D282" s="28"/>
      <c r="E282" s="29"/>
      <c r="F282" s="29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</row>
    <row r="283">
      <c r="B283" s="28"/>
      <c r="C283" s="28"/>
      <c r="D283" s="28"/>
      <c r="E283" s="29"/>
      <c r="F283" s="29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</row>
    <row r="284">
      <c r="B284" s="28"/>
      <c r="C284" s="28"/>
      <c r="D284" s="28"/>
      <c r="E284" s="29"/>
      <c r="F284" s="29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</row>
    <row r="285">
      <c r="B285" s="28"/>
      <c r="C285" s="28"/>
      <c r="D285" s="28"/>
      <c r="E285" s="29"/>
      <c r="F285" s="29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</row>
    <row r="286">
      <c r="B286" s="28"/>
      <c r="C286" s="28"/>
      <c r="D286" s="28"/>
      <c r="E286" s="29"/>
      <c r="F286" s="29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>
      <c r="B287" s="28"/>
      <c r="C287" s="28"/>
      <c r="D287" s="28"/>
      <c r="E287" s="29"/>
      <c r="F287" s="29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>
      <c r="B288" s="28"/>
      <c r="C288" s="28"/>
      <c r="D288" s="28"/>
      <c r="E288" s="29"/>
      <c r="F288" s="29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</row>
    <row r="289">
      <c r="B289" s="28"/>
      <c r="C289" s="28"/>
      <c r="D289" s="28"/>
      <c r="E289" s="29"/>
      <c r="F289" s="29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</row>
    <row r="290">
      <c r="B290" s="28"/>
      <c r="C290" s="28"/>
      <c r="D290" s="28"/>
      <c r="E290" s="29"/>
      <c r="F290" s="29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</row>
    <row r="291">
      <c r="B291" s="28"/>
      <c r="C291" s="28"/>
      <c r="D291" s="28"/>
      <c r="E291" s="29"/>
      <c r="F291" s="29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</row>
    <row r="292">
      <c r="B292" s="28"/>
      <c r="C292" s="28"/>
      <c r="D292" s="28"/>
      <c r="E292" s="29"/>
      <c r="F292" s="29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</row>
    <row r="293">
      <c r="B293" s="28"/>
      <c r="C293" s="28"/>
      <c r="D293" s="28"/>
      <c r="E293" s="29"/>
      <c r="F293" s="29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</row>
    <row r="294">
      <c r="B294" s="28"/>
      <c r="C294" s="28"/>
      <c r="D294" s="28"/>
      <c r="E294" s="29"/>
      <c r="F294" s="29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</row>
    <row r="295">
      <c r="B295" s="28"/>
      <c r="C295" s="28"/>
      <c r="D295" s="28"/>
      <c r="E295" s="29"/>
      <c r="F295" s="29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</row>
    <row r="296">
      <c r="B296" s="28"/>
      <c r="C296" s="28"/>
      <c r="D296" s="28"/>
      <c r="E296" s="29"/>
      <c r="F296" s="29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</row>
    <row r="297">
      <c r="B297" s="28"/>
      <c r="C297" s="28"/>
      <c r="D297" s="28"/>
      <c r="E297" s="29"/>
      <c r="F297" s="29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</row>
    <row r="298">
      <c r="B298" s="28"/>
      <c r="C298" s="28"/>
      <c r="D298" s="28"/>
      <c r="E298" s="29"/>
      <c r="F298" s="29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</row>
    <row r="299">
      <c r="B299" s="28"/>
      <c r="C299" s="28"/>
      <c r="D299" s="28"/>
      <c r="E299" s="29"/>
      <c r="F299" s="29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</row>
    <row r="300">
      <c r="B300" s="28"/>
      <c r="C300" s="28"/>
      <c r="D300" s="28"/>
      <c r="E300" s="29"/>
      <c r="F300" s="29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</row>
    <row r="301">
      <c r="B301" s="28"/>
      <c r="C301" s="28"/>
      <c r="D301" s="28"/>
      <c r="E301" s="29"/>
      <c r="F301" s="29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</row>
    <row r="302">
      <c r="B302" s="28"/>
      <c r="C302" s="28"/>
      <c r="D302" s="28"/>
      <c r="E302" s="29"/>
      <c r="F302" s="29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</row>
    <row r="303">
      <c r="B303" s="28"/>
      <c r="C303" s="28"/>
      <c r="D303" s="28"/>
      <c r="E303" s="29"/>
      <c r="F303" s="29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</row>
    <row r="304">
      <c r="B304" s="28"/>
      <c r="C304" s="28"/>
      <c r="D304" s="28"/>
      <c r="E304" s="29"/>
      <c r="F304" s="29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</row>
    <row r="305">
      <c r="B305" s="28"/>
      <c r="C305" s="28"/>
      <c r="D305" s="28"/>
      <c r="E305" s="29"/>
      <c r="F305" s="29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</row>
    <row r="306">
      <c r="B306" s="28"/>
      <c r="C306" s="28"/>
      <c r="D306" s="28"/>
      <c r="E306" s="29"/>
      <c r="F306" s="29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</row>
    <row r="307">
      <c r="B307" s="28"/>
      <c r="C307" s="28"/>
      <c r="D307" s="28"/>
      <c r="E307" s="29"/>
      <c r="F307" s="29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</row>
    <row r="308">
      <c r="B308" s="28"/>
      <c r="C308" s="28"/>
      <c r="D308" s="28"/>
      <c r="E308" s="29"/>
      <c r="F308" s="29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</row>
    <row r="309">
      <c r="B309" s="28"/>
      <c r="C309" s="28"/>
      <c r="D309" s="28"/>
      <c r="E309" s="29"/>
      <c r="F309" s="29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</row>
    <row r="310">
      <c r="B310" s="28"/>
      <c r="C310" s="28"/>
      <c r="D310" s="28"/>
      <c r="E310" s="29"/>
      <c r="F310" s="29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</row>
    <row r="311">
      <c r="B311" s="28"/>
      <c r="C311" s="28"/>
      <c r="D311" s="28"/>
      <c r="E311" s="29"/>
      <c r="F311" s="29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</row>
    <row r="312">
      <c r="B312" s="28"/>
      <c r="C312" s="28"/>
      <c r="D312" s="28"/>
      <c r="E312" s="29"/>
      <c r="F312" s="29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</row>
    <row r="313">
      <c r="B313" s="28"/>
      <c r="C313" s="28"/>
      <c r="D313" s="28"/>
      <c r="E313" s="29"/>
      <c r="F313" s="29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</row>
    <row r="314">
      <c r="B314" s="28"/>
      <c r="C314" s="28"/>
      <c r="D314" s="28"/>
      <c r="E314" s="29"/>
      <c r="F314" s="29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</row>
    <row r="315">
      <c r="B315" s="28"/>
      <c r="C315" s="28"/>
      <c r="D315" s="28"/>
      <c r="E315" s="29"/>
      <c r="F315" s="29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</row>
    <row r="316">
      <c r="B316" s="28"/>
      <c r="C316" s="28"/>
      <c r="D316" s="28"/>
      <c r="E316" s="29"/>
      <c r="F316" s="29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</row>
    <row r="317">
      <c r="B317" s="28"/>
      <c r="C317" s="28"/>
      <c r="D317" s="28"/>
      <c r="E317" s="29"/>
      <c r="F317" s="29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</row>
    <row r="318">
      <c r="B318" s="28"/>
      <c r="C318" s="28"/>
      <c r="D318" s="28"/>
      <c r="E318" s="29"/>
      <c r="F318" s="29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</row>
    <row r="319">
      <c r="B319" s="28"/>
      <c r="C319" s="28"/>
      <c r="D319" s="28"/>
      <c r="E319" s="29"/>
      <c r="F319" s="29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</row>
    <row r="320">
      <c r="B320" s="28"/>
      <c r="C320" s="28"/>
      <c r="D320" s="28"/>
      <c r="E320" s="29"/>
      <c r="F320" s="29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</row>
    <row r="321">
      <c r="B321" s="28"/>
      <c r="C321" s="28"/>
      <c r="D321" s="28"/>
      <c r="E321" s="29"/>
      <c r="F321" s="29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</row>
    <row r="322">
      <c r="B322" s="28"/>
      <c r="C322" s="28"/>
      <c r="D322" s="28"/>
      <c r="E322" s="29"/>
      <c r="F322" s="29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</row>
    <row r="323">
      <c r="B323" s="28"/>
      <c r="C323" s="28"/>
      <c r="D323" s="28"/>
      <c r="E323" s="29"/>
      <c r="F323" s="29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</row>
    <row r="324">
      <c r="B324" s="28"/>
      <c r="C324" s="28"/>
      <c r="D324" s="28"/>
      <c r="E324" s="29"/>
      <c r="F324" s="29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</row>
    <row r="325">
      <c r="B325" s="28"/>
      <c r="C325" s="28"/>
      <c r="D325" s="28"/>
      <c r="E325" s="29"/>
      <c r="F325" s="29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</row>
    <row r="326">
      <c r="B326" s="28"/>
      <c r="C326" s="28"/>
      <c r="D326" s="28"/>
      <c r="E326" s="29"/>
      <c r="F326" s="29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</row>
    <row r="327">
      <c r="B327" s="28"/>
      <c r="C327" s="28"/>
      <c r="D327" s="28"/>
      <c r="E327" s="29"/>
      <c r="F327" s="29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</row>
    <row r="328">
      <c r="B328" s="28"/>
      <c r="C328" s="28"/>
      <c r="D328" s="28"/>
      <c r="E328" s="29"/>
      <c r="F328" s="29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</row>
    <row r="329">
      <c r="B329" s="28"/>
      <c r="C329" s="28"/>
      <c r="D329" s="28"/>
      <c r="E329" s="29"/>
      <c r="F329" s="29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</row>
    <row r="330">
      <c r="B330" s="28"/>
      <c r="C330" s="28"/>
      <c r="D330" s="28"/>
      <c r="E330" s="29"/>
      <c r="F330" s="29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</row>
    <row r="331">
      <c r="B331" s="28"/>
      <c r="C331" s="28"/>
      <c r="D331" s="28"/>
      <c r="E331" s="29"/>
      <c r="F331" s="29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</row>
    <row r="332">
      <c r="B332" s="28"/>
      <c r="C332" s="28"/>
      <c r="D332" s="28"/>
      <c r="E332" s="29"/>
      <c r="F332" s="29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</row>
    <row r="333">
      <c r="B333" s="28"/>
      <c r="C333" s="28"/>
      <c r="D333" s="28"/>
      <c r="E333" s="29"/>
      <c r="F333" s="29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</row>
    <row r="334">
      <c r="B334" s="28"/>
      <c r="C334" s="28"/>
      <c r="D334" s="28"/>
      <c r="E334" s="29"/>
      <c r="F334" s="29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</row>
    <row r="335">
      <c r="B335" s="28"/>
      <c r="C335" s="28"/>
      <c r="D335" s="28"/>
      <c r="E335" s="29"/>
      <c r="F335" s="29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</row>
    <row r="336">
      <c r="B336" s="28"/>
      <c r="C336" s="28"/>
      <c r="D336" s="28"/>
      <c r="E336" s="29"/>
      <c r="F336" s="29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</row>
    <row r="337">
      <c r="B337" s="28"/>
      <c r="C337" s="28"/>
      <c r="D337" s="28"/>
      <c r="E337" s="29"/>
      <c r="F337" s="29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</row>
    <row r="338">
      <c r="B338" s="28"/>
      <c r="C338" s="28"/>
      <c r="D338" s="28"/>
      <c r="E338" s="29"/>
      <c r="F338" s="29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</row>
    <row r="339">
      <c r="B339" s="28"/>
      <c r="C339" s="28"/>
      <c r="D339" s="28"/>
      <c r="E339" s="29"/>
      <c r="F339" s="29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</row>
    <row r="340">
      <c r="B340" s="28"/>
      <c r="C340" s="28"/>
      <c r="D340" s="28"/>
      <c r="E340" s="29"/>
      <c r="F340" s="29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</row>
    <row r="341">
      <c r="B341" s="28"/>
      <c r="C341" s="28"/>
      <c r="D341" s="28"/>
      <c r="E341" s="29"/>
      <c r="F341" s="29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</row>
    <row r="342">
      <c r="B342" s="28"/>
      <c r="C342" s="28"/>
      <c r="D342" s="28"/>
      <c r="E342" s="29"/>
      <c r="F342" s="29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</row>
    <row r="343">
      <c r="B343" s="28"/>
      <c r="C343" s="28"/>
      <c r="D343" s="28"/>
      <c r="E343" s="29"/>
      <c r="F343" s="29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</row>
    <row r="344">
      <c r="B344" s="28"/>
      <c r="C344" s="28"/>
      <c r="D344" s="28"/>
      <c r="E344" s="29"/>
      <c r="F344" s="29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</row>
    <row r="345">
      <c r="B345" s="28"/>
      <c r="C345" s="28"/>
      <c r="D345" s="28"/>
      <c r="E345" s="29"/>
      <c r="F345" s="29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</row>
    <row r="346">
      <c r="B346" s="28"/>
      <c r="C346" s="28"/>
      <c r="D346" s="28"/>
      <c r="E346" s="29"/>
      <c r="F346" s="29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</row>
    <row r="347">
      <c r="B347" s="28"/>
      <c r="C347" s="28"/>
      <c r="D347" s="28"/>
      <c r="E347" s="29"/>
      <c r="F347" s="29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</row>
    <row r="348">
      <c r="B348" s="28"/>
      <c r="C348" s="28"/>
      <c r="D348" s="28"/>
      <c r="E348" s="29"/>
      <c r="F348" s="29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</row>
    <row r="349">
      <c r="B349" s="28"/>
      <c r="C349" s="28"/>
      <c r="D349" s="28"/>
      <c r="E349" s="29"/>
      <c r="F349" s="29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</row>
    <row r="350">
      <c r="B350" s="28"/>
      <c r="C350" s="28"/>
      <c r="D350" s="28"/>
      <c r="E350" s="29"/>
      <c r="F350" s="29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</row>
    <row r="351">
      <c r="B351" s="28"/>
      <c r="C351" s="28"/>
      <c r="D351" s="28"/>
      <c r="E351" s="29"/>
      <c r="F351" s="29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</row>
    <row r="352">
      <c r="B352" s="28"/>
      <c r="C352" s="28"/>
      <c r="D352" s="28"/>
      <c r="E352" s="29"/>
      <c r="F352" s="29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</row>
    <row r="353">
      <c r="B353" s="28"/>
      <c r="C353" s="28"/>
      <c r="D353" s="28"/>
      <c r="E353" s="29"/>
      <c r="F353" s="29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</row>
    <row r="354">
      <c r="B354" s="28"/>
      <c r="C354" s="28"/>
      <c r="D354" s="28"/>
      <c r="E354" s="29"/>
      <c r="F354" s="29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</row>
    <row r="355">
      <c r="B355" s="28"/>
      <c r="C355" s="28"/>
      <c r="D355" s="28"/>
      <c r="E355" s="29"/>
      <c r="F355" s="29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</row>
    <row r="356">
      <c r="B356" s="28"/>
      <c r="C356" s="28"/>
      <c r="D356" s="28"/>
      <c r="E356" s="29"/>
      <c r="F356" s="29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</row>
    <row r="357">
      <c r="B357" s="28"/>
      <c r="C357" s="28"/>
      <c r="D357" s="28"/>
      <c r="E357" s="29"/>
      <c r="F357" s="29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</row>
    <row r="358">
      <c r="B358" s="28"/>
      <c r="C358" s="28"/>
      <c r="D358" s="28"/>
      <c r="E358" s="29"/>
      <c r="F358" s="29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</row>
    <row r="359">
      <c r="B359" s="28"/>
      <c r="C359" s="28"/>
      <c r="D359" s="28"/>
      <c r="E359" s="29"/>
      <c r="F359" s="29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</row>
    <row r="360">
      <c r="B360" s="28"/>
      <c r="C360" s="28"/>
      <c r="D360" s="28"/>
      <c r="E360" s="29"/>
      <c r="F360" s="29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</row>
    <row r="361">
      <c r="B361" s="28"/>
      <c r="C361" s="28"/>
      <c r="D361" s="28"/>
      <c r="E361" s="29"/>
      <c r="F361" s="29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</row>
    <row r="362">
      <c r="B362" s="28"/>
      <c r="C362" s="28"/>
      <c r="D362" s="28"/>
      <c r="E362" s="29"/>
      <c r="F362" s="29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</row>
    <row r="363">
      <c r="B363" s="28"/>
      <c r="C363" s="28"/>
      <c r="D363" s="28"/>
      <c r="E363" s="29"/>
      <c r="F363" s="29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</row>
    <row r="364">
      <c r="B364" s="28"/>
      <c r="C364" s="28"/>
      <c r="D364" s="28"/>
      <c r="E364" s="29"/>
      <c r="F364" s="29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</row>
    <row r="365">
      <c r="B365" s="28"/>
      <c r="C365" s="28"/>
      <c r="D365" s="28"/>
      <c r="E365" s="29"/>
      <c r="F365" s="29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</row>
    <row r="366">
      <c r="B366" s="28"/>
      <c r="C366" s="28"/>
      <c r="D366" s="28"/>
      <c r="E366" s="29"/>
      <c r="F366" s="29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</row>
    <row r="367">
      <c r="B367" s="28"/>
      <c r="C367" s="28"/>
      <c r="D367" s="28"/>
      <c r="E367" s="29"/>
      <c r="F367" s="29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</row>
    <row r="368">
      <c r="B368" s="28"/>
      <c r="C368" s="28"/>
      <c r="D368" s="28"/>
      <c r="E368" s="29"/>
      <c r="F368" s="29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</row>
    <row r="369">
      <c r="B369" s="28"/>
      <c r="C369" s="28"/>
      <c r="D369" s="28"/>
      <c r="E369" s="29"/>
      <c r="F369" s="29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</row>
    <row r="370">
      <c r="B370" s="28"/>
      <c r="C370" s="28"/>
      <c r="D370" s="28"/>
      <c r="E370" s="29"/>
      <c r="F370" s="29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</row>
    <row r="371">
      <c r="B371" s="28"/>
      <c r="C371" s="28"/>
      <c r="D371" s="28"/>
      <c r="E371" s="29"/>
      <c r="F371" s="29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</row>
    <row r="372">
      <c r="B372" s="28"/>
      <c r="C372" s="28"/>
      <c r="D372" s="28"/>
      <c r="E372" s="29"/>
      <c r="F372" s="29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</row>
    <row r="373">
      <c r="B373" s="28"/>
      <c r="C373" s="28"/>
      <c r="D373" s="28"/>
      <c r="E373" s="29"/>
      <c r="F373" s="29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</row>
    <row r="374">
      <c r="B374" s="28"/>
      <c r="C374" s="28"/>
      <c r="D374" s="28"/>
      <c r="E374" s="29"/>
      <c r="F374" s="29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</row>
    <row r="375">
      <c r="B375" s="28"/>
      <c r="C375" s="28"/>
      <c r="D375" s="28"/>
      <c r="E375" s="29"/>
      <c r="F375" s="29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</row>
    <row r="376">
      <c r="B376" s="28"/>
      <c r="C376" s="28"/>
      <c r="D376" s="28"/>
      <c r="E376" s="29"/>
      <c r="F376" s="29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</row>
    <row r="377">
      <c r="B377" s="28"/>
      <c r="C377" s="28"/>
      <c r="D377" s="28"/>
      <c r="E377" s="29"/>
      <c r="F377" s="29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</row>
    <row r="378">
      <c r="B378" s="28"/>
      <c r="C378" s="28"/>
      <c r="D378" s="28"/>
      <c r="E378" s="29"/>
      <c r="F378" s="29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</row>
    <row r="379">
      <c r="B379" s="28"/>
      <c r="C379" s="28"/>
      <c r="D379" s="28"/>
      <c r="E379" s="29"/>
      <c r="F379" s="29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</row>
    <row r="380">
      <c r="B380" s="28"/>
      <c r="C380" s="28"/>
      <c r="D380" s="28"/>
      <c r="E380" s="29"/>
      <c r="F380" s="29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</row>
    <row r="381">
      <c r="B381" s="28"/>
      <c r="C381" s="28"/>
      <c r="D381" s="28"/>
      <c r="E381" s="29"/>
      <c r="F381" s="29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</row>
    <row r="382">
      <c r="B382" s="28"/>
      <c r="C382" s="28"/>
      <c r="D382" s="28"/>
      <c r="E382" s="29"/>
      <c r="F382" s="29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</row>
    <row r="383">
      <c r="B383" s="28"/>
      <c r="C383" s="28"/>
      <c r="D383" s="28"/>
      <c r="E383" s="29"/>
      <c r="F383" s="29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</row>
    <row r="384">
      <c r="B384" s="28"/>
      <c r="C384" s="28"/>
      <c r="D384" s="28"/>
      <c r="E384" s="29"/>
      <c r="F384" s="29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</row>
    <row r="385">
      <c r="B385" s="28"/>
      <c r="C385" s="28"/>
      <c r="D385" s="28"/>
      <c r="E385" s="29"/>
      <c r="F385" s="29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</row>
    <row r="386">
      <c r="B386" s="28"/>
      <c r="C386" s="28"/>
      <c r="D386" s="28"/>
      <c r="E386" s="29"/>
      <c r="F386" s="29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</row>
    <row r="387">
      <c r="B387" s="28"/>
      <c r="C387" s="28"/>
      <c r="D387" s="28"/>
      <c r="E387" s="29"/>
      <c r="F387" s="29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</row>
    <row r="388">
      <c r="B388" s="28"/>
      <c r="C388" s="28"/>
      <c r="D388" s="28"/>
      <c r="E388" s="29"/>
      <c r="F388" s="29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</row>
    <row r="389">
      <c r="B389" s="28"/>
      <c r="C389" s="28"/>
      <c r="D389" s="28"/>
      <c r="E389" s="29"/>
      <c r="F389" s="29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</row>
    <row r="390">
      <c r="B390" s="28"/>
      <c r="C390" s="28"/>
      <c r="D390" s="28"/>
      <c r="E390" s="29"/>
      <c r="F390" s="29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</row>
    <row r="391">
      <c r="B391" s="28"/>
      <c r="C391" s="28"/>
      <c r="D391" s="28"/>
      <c r="E391" s="29"/>
      <c r="F391" s="29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</row>
    <row r="392">
      <c r="B392" s="28"/>
      <c r="C392" s="28"/>
      <c r="D392" s="28"/>
      <c r="E392" s="29"/>
      <c r="F392" s="29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</row>
    <row r="393">
      <c r="B393" s="28"/>
      <c r="C393" s="28"/>
      <c r="D393" s="28"/>
      <c r="E393" s="29"/>
      <c r="F393" s="29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</row>
    <row r="394">
      <c r="B394" s="28"/>
      <c r="C394" s="28"/>
      <c r="D394" s="28"/>
      <c r="E394" s="29"/>
      <c r="F394" s="29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</row>
    <row r="395">
      <c r="B395" s="28"/>
      <c r="C395" s="28"/>
      <c r="D395" s="28"/>
      <c r="E395" s="29"/>
      <c r="F395" s="29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</row>
    <row r="396">
      <c r="B396" s="28"/>
      <c r="C396" s="28"/>
      <c r="D396" s="28"/>
      <c r="E396" s="29"/>
      <c r="F396" s="29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</row>
    <row r="397">
      <c r="B397" s="28"/>
      <c r="C397" s="28"/>
      <c r="D397" s="28"/>
      <c r="E397" s="29"/>
      <c r="F397" s="29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</row>
    <row r="398">
      <c r="B398" s="28"/>
      <c r="C398" s="28"/>
      <c r="D398" s="28"/>
      <c r="E398" s="29"/>
      <c r="F398" s="29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</row>
    <row r="399">
      <c r="B399" s="28"/>
      <c r="C399" s="28"/>
      <c r="D399" s="28"/>
      <c r="E399" s="29"/>
      <c r="F399" s="29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</row>
    <row r="400">
      <c r="B400" s="28"/>
      <c r="C400" s="28"/>
      <c r="D400" s="28"/>
      <c r="E400" s="29"/>
      <c r="F400" s="29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</row>
    <row r="401">
      <c r="B401" s="28"/>
      <c r="C401" s="28"/>
      <c r="D401" s="28"/>
      <c r="E401" s="29"/>
      <c r="F401" s="29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</row>
    <row r="402">
      <c r="B402" s="28"/>
      <c r="C402" s="28"/>
      <c r="D402" s="28"/>
      <c r="E402" s="29"/>
      <c r="F402" s="29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</row>
    <row r="403">
      <c r="B403" s="28"/>
      <c r="C403" s="28"/>
      <c r="D403" s="28"/>
      <c r="E403" s="29"/>
      <c r="F403" s="29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</row>
    <row r="404">
      <c r="B404" s="28"/>
      <c r="C404" s="28"/>
      <c r="D404" s="28"/>
      <c r="E404" s="29"/>
      <c r="F404" s="29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</row>
    <row r="405">
      <c r="B405" s="28"/>
      <c r="C405" s="28"/>
      <c r="D405" s="28"/>
      <c r="E405" s="29"/>
      <c r="F405" s="29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</row>
    <row r="406">
      <c r="B406" s="28"/>
      <c r="C406" s="28"/>
      <c r="D406" s="28"/>
      <c r="E406" s="29"/>
      <c r="F406" s="29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</row>
    <row r="407">
      <c r="B407" s="28"/>
      <c r="C407" s="28"/>
      <c r="D407" s="28"/>
      <c r="E407" s="29"/>
      <c r="F407" s="29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</row>
    <row r="408">
      <c r="B408" s="28"/>
      <c r="C408" s="28"/>
      <c r="D408" s="28"/>
      <c r="E408" s="29"/>
      <c r="F408" s="29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</row>
    <row r="409">
      <c r="B409" s="28"/>
      <c r="C409" s="28"/>
      <c r="D409" s="28"/>
      <c r="E409" s="29"/>
      <c r="F409" s="29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</row>
    <row r="410">
      <c r="B410" s="28"/>
      <c r="C410" s="28"/>
      <c r="D410" s="28"/>
      <c r="E410" s="29"/>
      <c r="F410" s="29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</row>
    <row r="411">
      <c r="B411" s="28"/>
      <c r="C411" s="28"/>
      <c r="D411" s="28"/>
      <c r="E411" s="29"/>
      <c r="F411" s="29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</row>
    <row r="412">
      <c r="B412" s="28"/>
      <c r="C412" s="28"/>
      <c r="D412" s="28"/>
      <c r="E412" s="29"/>
      <c r="F412" s="29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</row>
    <row r="413">
      <c r="B413" s="28"/>
      <c r="C413" s="28"/>
      <c r="D413" s="28"/>
      <c r="E413" s="29"/>
      <c r="F413" s="29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</row>
    <row r="414">
      <c r="B414" s="28"/>
      <c r="C414" s="28"/>
      <c r="D414" s="28"/>
      <c r="E414" s="29"/>
      <c r="F414" s="29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</row>
    <row r="415">
      <c r="B415" s="28"/>
      <c r="C415" s="28"/>
      <c r="D415" s="28"/>
      <c r="E415" s="29"/>
      <c r="F415" s="29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</row>
    <row r="416">
      <c r="B416" s="28"/>
      <c r="C416" s="28"/>
      <c r="D416" s="28"/>
      <c r="E416" s="29"/>
      <c r="F416" s="29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</row>
    <row r="417">
      <c r="B417" s="28"/>
      <c r="C417" s="28"/>
      <c r="D417" s="28"/>
      <c r="E417" s="29"/>
      <c r="F417" s="29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</row>
    <row r="418">
      <c r="B418" s="28"/>
      <c r="C418" s="28"/>
      <c r="D418" s="28"/>
      <c r="E418" s="29"/>
      <c r="F418" s="29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</row>
    <row r="419">
      <c r="B419" s="28"/>
      <c r="C419" s="28"/>
      <c r="D419" s="28"/>
      <c r="E419" s="29"/>
      <c r="F419" s="29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</row>
    <row r="420">
      <c r="B420" s="28"/>
      <c r="C420" s="28"/>
      <c r="D420" s="28"/>
      <c r="E420" s="29"/>
      <c r="F420" s="29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</row>
    <row r="421">
      <c r="B421" s="28"/>
      <c r="C421" s="28"/>
      <c r="D421" s="28"/>
      <c r="E421" s="29"/>
      <c r="F421" s="29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</row>
    <row r="422">
      <c r="B422" s="28"/>
      <c r="C422" s="28"/>
      <c r="D422" s="28"/>
      <c r="E422" s="29"/>
      <c r="F422" s="29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</row>
    <row r="423">
      <c r="B423" s="28"/>
      <c r="C423" s="28"/>
      <c r="D423" s="28"/>
      <c r="E423" s="29"/>
      <c r="F423" s="29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</row>
    <row r="424">
      <c r="B424" s="28"/>
      <c r="C424" s="28"/>
      <c r="D424" s="28"/>
      <c r="E424" s="29"/>
      <c r="F424" s="29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</row>
    <row r="425">
      <c r="B425" s="28"/>
      <c r="C425" s="28"/>
      <c r="D425" s="28"/>
      <c r="E425" s="29"/>
      <c r="F425" s="29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</row>
    <row r="426">
      <c r="B426" s="28"/>
      <c r="C426" s="28"/>
      <c r="D426" s="28"/>
      <c r="E426" s="29"/>
      <c r="F426" s="29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</row>
    <row r="427">
      <c r="B427" s="28"/>
      <c r="C427" s="28"/>
      <c r="D427" s="28"/>
      <c r="E427" s="29"/>
      <c r="F427" s="29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</row>
    <row r="428">
      <c r="B428" s="28"/>
      <c r="C428" s="28"/>
      <c r="D428" s="28"/>
      <c r="E428" s="29"/>
      <c r="F428" s="29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</row>
    <row r="429">
      <c r="B429" s="28"/>
      <c r="C429" s="28"/>
      <c r="D429" s="28"/>
      <c r="E429" s="29"/>
      <c r="F429" s="29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</row>
  </sheetData>
  <mergeCells count="20">
    <mergeCell ref="G2:G3"/>
    <mergeCell ref="H2:H3"/>
    <mergeCell ref="I2:I3"/>
    <mergeCell ref="J2:J3"/>
    <mergeCell ref="K2:K3"/>
    <mergeCell ref="L2:N2"/>
    <mergeCell ref="O2:O3"/>
    <mergeCell ref="P2:P3"/>
    <mergeCell ref="Q2:Q3"/>
    <mergeCell ref="R2:R3"/>
    <mergeCell ref="S2:S3"/>
    <mergeCell ref="T2:T3"/>
    <mergeCell ref="A1:U1"/>
    <mergeCell ref="A2:A3"/>
    <mergeCell ref="B2:B3"/>
    <mergeCell ref="C2:C3"/>
    <mergeCell ref="D2:D3"/>
    <mergeCell ref="E2:E3"/>
    <mergeCell ref="F2:F3"/>
    <mergeCell ref="U2:U3"/>
  </mergeCells>
  <hyperlinks>
    <hyperlink r:id="rId2" ref="A61"/>
    <hyperlink r:id="rId3" ref="A65"/>
    <hyperlink r:id="rId4" ref="A70"/>
    <hyperlink r:id="rId5" ref="A92"/>
    <hyperlink r:id="rId6" ref="A113"/>
    <hyperlink r:id="rId7" ref="A114"/>
    <hyperlink r:id="rId8" ref="A122"/>
    <hyperlink r:id="rId9" ref="A134"/>
    <hyperlink r:id="rId10" ref="A162"/>
    <hyperlink r:id="rId11" ref="A177"/>
    <hyperlink r:id="rId12" ref="A178"/>
    <hyperlink r:id="rId13" ref="A179"/>
    <hyperlink r:id="rId14" ref="A180"/>
    <hyperlink r:id="rId15" ref="A192"/>
    <hyperlink r:id="rId16" ref="A213"/>
    <hyperlink r:id="rId17" ref="A217"/>
  </hyperlinks>
  <drawing r:id="rId18"/>
  <legacy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5.14"/>
    <col customWidth="1" min="2" max="2" width="8.71"/>
    <col customWidth="1" min="3" max="3" width="8.0"/>
    <col customWidth="1" min="4" max="5" width="10.14"/>
    <col customWidth="1" min="6" max="6" width="11.57"/>
    <col customWidth="1" min="7" max="7" width="7.29"/>
    <col customWidth="1" min="8" max="8" width="8.0"/>
    <col customWidth="1" min="9" max="9" width="10.86"/>
    <col customWidth="1" min="10" max="10" width="15.29"/>
    <col customWidth="1" min="11" max="11" width="14.43"/>
    <col customWidth="1" min="12" max="12" width="10.29"/>
    <col customWidth="1" min="13" max="14" width="14.43"/>
    <col customWidth="1" min="15" max="19" width="7.29"/>
    <col customWidth="1" min="20" max="20" width="10.14"/>
  </cols>
  <sheetData>
    <row r="1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1" t="s">
        <v>12</v>
      </c>
      <c r="M2" s="2"/>
      <c r="N2" s="3"/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 t="s">
        <v>20</v>
      </c>
      <c r="M3" s="8" t="s">
        <v>21</v>
      </c>
      <c r="N3" s="8" t="s">
        <v>22</v>
      </c>
      <c r="O3" s="7"/>
      <c r="P3" s="7"/>
      <c r="Q3" s="7"/>
      <c r="R3" s="7"/>
      <c r="S3" s="7"/>
      <c r="T3" s="7"/>
      <c r="U3" s="7"/>
    </row>
    <row r="4">
      <c r="A4" s="9" t="str">
        <f>HYPERLINK("https://docs.google.com/spreadsheets/d/1tPYt5CqjX32YXnh0BRsechvszEP2n4_ePabpiRTSzqE/edit?usp=sharing","Andrew Savage")</f>
        <v>Andrew Savage</v>
      </c>
      <c r="B4" s="10">
        <v>7.0</v>
      </c>
      <c r="C4" s="10">
        <v>51.0</v>
      </c>
      <c r="D4" s="10">
        <v>8.0</v>
      </c>
      <c r="E4" s="11">
        <v>6.38</v>
      </c>
      <c r="F4" s="12">
        <v>0.1018</v>
      </c>
      <c r="G4" s="10">
        <v>21.0</v>
      </c>
      <c r="H4" s="10" t="s">
        <v>23</v>
      </c>
      <c r="I4" s="10" t="s">
        <v>9</v>
      </c>
      <c r="J4" s="10" t="s">
        <v>60</v>
      </c>
      <c r="K4" s="10" t="s">
        <v>61</v>
      </c>
      <c r="L4" s="13">
        <v>1.0</v>
      </c>
      <c r="M4" s="13">
        <v>3.0</v>
      </c>
      <c r="N4" s="13" t="s">
        <v>23</v>
      </c>
      <c r="O4" s="13">
        <v>5.0</v>
      </c>
      <c r="P4" s="10" t="s">
        <v>23</v>
      </c>
      <c r="Q4" s="10" t="s">
        <v>23</v>
      </c>
      <c r="R4" s="10"/>
      <c r="S4" s="10" t="s">
        <v>23</v>
      </c>
      <c r="T4" s="10"/>
      <c r="U4" s="10" t="s">
        <v>23</v>
      </c>
    </row>
    <row r="5">
      <c r="A5" s="9" t="str">
        <f>HYPERLINK("https://docs.google.com/spreadsheets/d/1nRsx7fR5xbH1eAbI_vBDvqXOgh7mXIwmZNhzrVL6oGM/edit?usp=sharing","Rob Mariano")</f>
        <v>Rob Mariano</v>
      </c>
      <c r="B5" s="10">
        <v>4.0</v>
      </c>
      <c r="C5" s="10">
        <v>40.0</v>
      </c>
      <c r="D5" s="10">
        <v>7.0</v>
      </c>
      <c r="E5" s="11">
        <v>5.71</v>
      </c>
      <c r="F5" s="12">
        <v>0.0837</v>
      </c>
      <c r="G5" s="10">
        <v>21.0</v>
      </c>
      <c r="H5" s="10" t="s">
        <v>23</v>
      </c>
      <c r="I5" s="10" t="s">
        <v>9</v>
      </c>
      <c r="J5" s="10" t="s">
        <v>60</v>
      </c>
      <c r="K5" s="10" t="s">
        <v>61</v>
      </c>
      <c r="L5" s="13">
        <v>1.0</v>
      </c>
      <c r="M5" s="13">
        <v>2.0</v>
      </c>
      <c r="N5" s="13" t="s">
        <v>23</v>
      </c>
      <c r="O5" s="13">
        <v>5.0</v>
      </c>
      <c r="P5" s="10" t="s">
        <v>23</v>
      </c>
      <c r="Q5" s="10" t="s">
        <v>23</v>
      </c>
      <c r="R5" s="10"/>
      <c r="S5" s="10" t="s">
        <v>23</v>
      </c>
      <c r="T5" s="10"/>
      <c r="U5" s="10" t="s">
        <v>23</v>
      </c>
    </row>
    <row r="6">
      <c r="A6" s="9" t="str">
        <f>HYPERLINK("https://docs.google.com/spreadsheets/d/1nRsx7fR5xbH1eAbI_vBDvqXOgh7mXIwmZNhzrVL6oGM/edit?usp=sharing","Gina Crews")</f>
        <v>Gina Crews</v>
      </c>
      <c r="B6" s="10">
        <v>4.0</v>
      </c>
      <c r="C6" s="10">
        <v>37.0</v>
      </c>
      <c r="D6" s="10">
        <v>6.0</v>
      </c>
      <c r="E6" s="11">
        <v>6.17</v>
      </c>
      <c r="F6" s="12">
        <v>0.0774</v>
      </c>
      <c r="G6" s="10">
        <v>18.0</v>
      </c>
      <c r="H6" s="10" t="s">
        <v>23</v>
      </c>
      <c r="I6" s="10" t="s">
        <v>42</v>
      </c>
      <c r="J6" s="10" t="s">
        <v>60</v>
      </c>
      <c r="K6" s="10" t="s">
        <v>78</v>
      </c>
      <c r="L6" s="13">
        <v>2.0</v>
      </c>
      <c r="M6" s="13">
        <v>1.0</v>
      </c>
      <c r="N6" s="13" t="s">
        <v>23</v>
      </c>
      <c r="O6" s="13">
        <v>5.0</v>
      </c>
      <c r="P6" s="10" t="s">
        <v>23</v>
      </c>
      <c r="Q6" s="10" t="s">
        <v>23</v>
      </c>
      <c r="R6" s="10"/>
      <c r="S6" s="10" t="s">
        <v>23</v>
      </c>
      <c r="T6" s="10"/>
      <c r="U6" s="10" t="s">
        <v>23</v>
      </c>
    </row>
    <row r="7">
      <c r="A7" s="9" t="str">
        <f>HYPERLINK("https://docs.google.com/spreadsheets/d/18wmIvmUS3SeZNSPQeUzr6sPl9GBYpVSlOaFR_kJCmKo/edit?usp=sharing","Jeff Varner")</f>
        <v>Jeff Varner</v>
      </c>
      <c r="B7" s="10">
        <v>2.0</v>
      </c>
      <c r="C7" s="10">
        <v>35.0</v>
      </c>
      <c r="D7" s="10">
        <v>7.0</v>
      </c>
      <c r="E7" s="11">
        <v>5.0</v>
      </c>
      <c r="F7" s="12">
        <v>0.0624</v>
      </c>
      <c r="G7" s="10">
        <v>21.0</v>
      </c>
      <c r="H7" s="10" t="s">
        <v>23</v>
      </c>
      <c r="I7" s="10" t="s">
        <v>9</v>
      </c>
      <c r="J7" s="10" t="s">
        <v>60</v>
      </c>
      <c r="K7" s="10" t="s">
        <v>61</v>
      </c>
      <c r="L7" s="13">
        <v>3.0</v>
      </c>
      <c r="M7" s="13">
        <v>3.0</v>
      </c>
      <c r="N7" s="13" t="s">
        <v>23</v>
      </c>
      <c r="O7" s="13">
        <v>3.0</v>
      </c>
      <c r="P7" s="10" t="s">
        <v>23</v>
      </c>
      <c r="Q7" s="10" t="s">
        <v>23</v>
      </c>
      <c r="R7" s="10"/>
      <c r="S7" s="10" t="s">
        <v>23</v>
      </c>
      <c r="T7" s="10"/>
      <c r="U7" s="10" t="s">
        <v>23</v>
      </c>
    </row>
    <row r="8">
      <c r="A8" s="9" t="str">
        <f>HYPERLINK("https://docs.google.com/spreadsheets/d/14eN4V4imd53x81UQVckjyAx_2xIFGXJ8NE4XmE1oDkg/edit?usp=sharing","Gretchen Cordy")</f>
        <v>Gretchen Cordy</v>
      </c>
      <c r="B8" s="10">
        <v>1.0</v>
      </c>
      <c r="C8" s="10">
        <v>35.0</v>
      </c>
      <c r="D8" s="10">
        <v>7.0</v>
      </c>
      <c r="E8" s="11">
        <v>5.0</v>
      </c>
      <c r="F8" s="14">
        <v>0.0533</v>
      </c>
      <c r="G8" s="10">
        <v>21.0</v>
      </c>
      <c r="H8" s="10" t="s">
        <v>23</v>
      </c>
      <c r="I8" s="10" t="s">
        <v>9</v>
      </c>
      <c r="J8" s="10" t="s">
        <v>60</v>
      </c>
      <c r="K8" s="10" t="s">
        <v>61</v>
      </c>
      <c r="L8" s="13">
        <v>4.0</v>
      </c>
      <c r="M8" s="13">
        <v>3.0</v>
      </c>
      <c r="N8" s="13" t="s">
        <v>23</v>
      </c>
      <c r="O8" s="13">
        <v>4.0</v>
      </c>
      <c r="P8" s="10" t="s">
        <v>23</v>
      </c>
      <c r="Q8" s="10" t="s">
        <v>23</v>
      </c>
      <c r="R8" s="10"/>
      <c r="S8" s="10" t="s">
        <v>23</v>
      </c>
      <c r="T8" s="10"/>
      <c r="U8" s="10" t="s">
        <v>23</v>
      </c>
    </row>
    <row r="9">
      <c r="A9" s="9" t="str">
        <f>HYPERLINK("https://docs.google.com/spreadsheets/d/1EZNO7rY3X3GsqJDX9iY8RpZJJDJ-K4nm_Mxm1g397N0/edit?usp=sharing","Lindsey Richter")</f>
        <v>Lindsey Richter</v>
      </c>
      <c r="B9" s="10">
        <v>3.0</v>
      </c>
      <c r="C9" s="10">
        <v>34.0</v>
      </c>
      <c r="D9" s="10">
        <v>6.0</v>
      </c>
      <c r="E9" s="11">
        <v>5.67</v>
      </c>
      <c r="F9" s="12">
        <v>0.068</v>
      </c>
      <c r="G9" s="10">
        <v>18.0</v>
      </c>
      <c r="H9" s="10" t="s">
        <v>23</v>
      </c>
      <c r="I9" s="10" t="s">
        <v>42</v>
      </c>
      <c r="J9" s="10" t="s">
        <v>60</v>
      </c>
      <c r="K9" s="10" t="s">
        <v>78</v>
      </c>
      <c r="L9" s="13">
        <v>4.0</v>
      </c>
      <c r="M9" s="13">
        <v>3.0</v>
      </c>
      <c r="N9" s="13" t="s">
        <v>23</v>
      </c>
      <c r="O9" s="13">
        <v>3.0</v>
      </c>
      <c r="P9" s="10" t="s">
        <v>23</v>
      </c>
      <c r="Q9" s="10" t="s">
        <v>23</v>
      </c>
      <c r="R9" s="10"/>
      <c r="S9" s="10" t="s">
        <v>23</v>
      </c>
      <c r="T9" s="10"/>
      <c r="U9" s="10" t="s">
        <v>23</v>
      </c>
    </row>
    <row r="10">
      <c r="A10" s="15" t="str">
        <f>HYPERLINK("https://docs.google.com/spreadsheets/d/1d8Hzm_QCJnDef8NF_dVYBZLjLjFI3Fl8Yt14m8Zhn8Y/edit?usp=sharing","Bobby Jon Drinkard")</f>
        <v>Bobby Jon Drinkard</v>
      </c>
      <c r="B10" s="13">
        <v>10.0</v>
      </c>
      <c r="C10" s="13">
        <v>34.0</v>
      </c>
      <c r="D10" s="13">
        <v>8.0</v>
      </c>
      <c r="E10" s="16">
        <v>4.25</v>
      </c>
      <c r="F10" s="17">
        <v>0.0796</v>
      </c>
      <c r="G10" s="13">
        <v>21.0</v>
      </c>
      <c r="H10" s="13" t="s">
        <v>23</v>
      </c>
      <c r="I10" s="13" t="s">
        <v>42</v>
      </c>
      <c r="J10" s="13" t="s">
        <v>60</v>
      </c>
      <c r="K10" s="13" t="s">
        <v>86</v>
      </c>
      <c r="L10" s="13">
        <v>3.0</v>
      </c>
      <c r="M10" s="13" t="s">
        <v>23</v>
      </c>
      <c r="N10" s="13" t="s">
        <v>23</v>
      </c>
      <c r="O10" s="13">
        <v>8.0</v>
      </c>
      <c r="P10" s="13" t="s">
        <v>23</v>
      </c>
      <c r="Q10" s="13" t="s">
        <v>23</v>
      </c>
      <c r="R10" s="13"/>
      <c r="S10" s="13" t="s">
        <v>23</v>
      </c>
      <c r="T10" s="13" t="s">
        <v>23</v>
      </c>
      <c r="U10" s="13" t="s">
        <v>23</v>
      </c>
    </row>
    <row r="11">
      <c r="A11" s="19" t="str">
        <f>HYPERLINK("https://docs.google.com/spreadsheets/d/1TniiK35-AGMNddj9lkge_tT9QfOGXMfX2thnTv8npTo/edit?usp=sharing","Shii Ann Huang")</f>
        <v>Shii Ann Huang</v>
      </c>
      <c r="B11" s="20">
        <v>5.0</v>
      </c>
      <c r="C11" s="21">
        <v>33.0</v>
      </c>
      <c r="D11" s="20">
        <v>7.0</v>
      </c>
      <c r="E11" s="22">
        <v>4.71</v>
      </c>
      <c r="F11" s="14">
        <v>0.0683</v>
      </c>
      <c r="G11" s="21">
        <v>21.0</v>
      </c>
      <c r="H11" s="21" t="s">
        <v>23</v>
      </c>
      <c r="I11" s="10" t="s">
        <v>42</v>
      </c>
      <c r="J11" s="20" t="s">
        <v>60</v>
      </c>
      <c r="K11" s="20" t="s">
        <v>61</v>
      </c>
      <c r="L11" s="13">
        <v>5.0</v>
      </c>
      <c r="M11" s="13">
        <v>3.0</v>
      </c>
      <c r="N11" s="13" t="s">
        <v>23</v>
      </c>
      <c r="O11" s="13">
        <v>4.0</v>
      </c>
      <c r="P11" s="10" t="s">
        <v>23</v>
      </c>
      <c r="Q11" s="10" t="s">
        <v>23</v>
      </c>
      <c r="R11" s="10"/>
      <c r="S11" s="10" t="s">
        <v>23</v>
      </c>
      <c r="T11" s="10"/>
      <c r="U11" s="10" t="s">
        <v>23</v>
      </c>
    </row>
    <row r="12">
      <c r="A12" s="9" t="str">
        <f>HYPERLINK("https://docs.google.com/spreadsheets/d/1hg_GT4r2smQsgkwEYBqHOukVavnNSyncsyfceWDpOho/edit?usp=sharing","Jerri Manthey")</f>
        <v>Jerri Manthey</v>
      </c>
      <c r="B12" s="10">
        <v>8.0</v>
      </c>
      <c r="C12" s="10">
        <v>32.0</v>
      </c>
      <c r="D12" s="10">
        <v>9.0</v>
      </c>
      <c r="E12" s="11">
        <v>3.56</v>
      </c>
      <c r="F12" s="12">
        <v>0.0631</v>
      </c>
      <c r="G12" s="10">
        <v>24.0</v>
      </c>
      <c r="H12" s="10" t="s">
        <v>23</v>
      </c>
      <c r="I12" s="10" t="s">
        <v>42</v>
      </c>
      <c r="J12" s="10" t="s">
        <v>60</v>
      </c>
      <c r="K12" s="10" t="s">
        <v>68</v>
      </c>
      <c r="L12" s="13">
        <v>4.0</v>
      </c>
      <c r="M12" s="13">
        <v>1.0</v>
      </c>
      <c r="N12" s="13" t="s">
        <v>23</v>
      </c>
      <c r="O12" s="13">
        <v>6.0</v>
      </c>
      <c r="P12" s="10" t="s">
        <v>23</v>
      </c>
      <c r="Q12" s="10" t="s">
        <v>23</v>
      </c>
      <c r="R12" s="10"/>
      <c r="S12" s="10" t="s">
        <v>23</v>
      </c>
      <c r="T12" s="10"/>
      <c r="U12" s="10" t="s">
        <v>23</v>
      </c>
    </row>
    <row r="13">
      <c r="A13" s="30" t="str">
        <f>HYPERLINK("https://docs.google.com/spreadsheets/d/1yi_HtvN4TS5uRWCCFJg5RFaoouiIIe8CAtY_XnqP6iM/edit?usp=sharing","Rory Freeman")</f>
        <v>Rory Freeman</v>
      </c>
      <c r="B13" s="31">
        <v>9.0</v>
      </c>
      <c r="C13" s="31">
        <v>31.0</v>
      </c>
      <c r="D13" s="31">
        <v>8.0</v>
      </c>
      <c r="E13" s="32">
        <v>3.88</v>
      </c>
      <c r="F13" s="33">
        <v>0.074</v>
      </c>
      <c r="G13" s="31">
        <v>21.0</v>
      </c>
      <c r="H13" s="31" t="s">
        <v>23</v>
      </c>
      <c r="I13" s="31" t="s">
        <v>9</v>
      </c>
      <c r="J13" s="31" t="s">
        <v>60</v>
      </c>
      <c r="K13" s="31" t="s">
        <v>68</v>
      </c>
      <c r="L13" s="31">
        <v>3.0</v>
      </c>
      <c r="M13" s="31">
        <v>2.0</v>
      </c>
      <c r="N13" s="31" t="s">
        <v>23</v>
      </c>
      <c r="O13" s="31">
        <v>6.0</v>
      </c>
      <c r="P13" s="34" t="s">
        <v>23</v>
      </c>
      <c r="Q13" s="34" t="s">
        <v>23</v>
      </c>
      <c r="R13" s="34"/>
      <c r="S13" s="34" t="s">
        <v>23</v>
      </c>
      <c r="T13" s="34"/>
      <c r="U13" s="34" t="s">
        <v>23</v>
      </c>
    </row>
    <row r="14">
      <c r="A14" s="9" t="str">
        <f>HYPERLINK("https://docs.google.com/spreadsheets/d/1v6gXy2rHfH0CkzT8zUZyZm6b-WimbnBspkh1B5hksu4/edit?usp=sharing","Colton Cumbie")</f>
        <v>Colton Cumbie</v>
      </c>
      <c r="B14" s="10">
        <v>24.0</v>
      </c>
      <c r="C14" s="10">
        <v>29.0</v>
      </c>
      <c r="D14" s="10">
        <v>6.0</v>
      </c>
      <c r="E14" s="11">
        <v>4.83</v>
      </c>
      <c r="F14" s="12">
        <v>0.0759</v>
      </c>
      <c r="G14" s="10">
        <v>16.0</v>
      </c>
      <c r="H14" s="10" t="s">
        <v>23</v>
      </c>
      <c r="I14" s="10" t="s">
        <v>42</v>
      </c>
      <c r="J14" s="10" t="s">
        <v>60</v>
      </c>
      <c r="K14" s="10" t="s">
        <v>91</v>
      </c>
      <c r="L14" s="13">
        <v>2.0</v>
      </c>
      <c r="M14" s="13">
        <v>2.0</v>
      </c>
      <c r="N14" s="13" t="s">
        <v>23</v>
      </c>
      <c r="O14" s="13">
        <v>3.0</v>
      </c>
      <c r="P14" s="10" t="s">
        <v>23</v>
      </c>
      <c r="Q14" s="10" t="s">
        <v>23</v>
      </c>
      <c r="R14" s="10"/>
      <c r="S14" s="10">
        <v>1.0</v>
      </c>
      <c r="T14" s="10"/>
      <c r="U14" s="10" t="s">
        <v>92</v>
      </c>
    </row>
    <row r="15">
      <c r="A15" s="15" t="str">
        <f>HYPERLINK("https://docs.google.com/spreadsheets/d/1sWOJC8eB6rVdXdWiWMgfbfgw2325jIh1ODKxyaCmSGc/edit?usp=sharing","Brandon Bellinger")</f>
        <v>Brandon Bellinger</v>
      </c>
      <c r="B15" s="13">
        <v>11.0</v>
      </c>
      <c r="C15" s="13">
        <v>28.0</v>
      </c>
      <c r="D15" s="13">
        <v>8.0</v>
      </c>
      <c r="E15" s="16">
        <v>3.5</v>
      </c>
      <c r="F15" s="17">
        <v>0.0635</v>
      </c>
      <c r="G15" s="13">
        <v>21.0</v>
      </c>
      <c r="H15" s="13" t="s">
        <v>23</v>
      </c>
      <c r="I15" s="13" t="s">
        <v>9</v>
      </c>
      <c r="J15" s="13" t="s">
        <v>60</v>
      </c>
      <c r="K15" s="13" t="s">
        <v>68</v>
      </c>
      <c r="L15" s="13">
        <v>5.0</v>
      </c>
      <c r="M15" s="13">
        <v>3.0</v>
      </c>
      <c r="N15" s="13" t="s">
        <v>23</v>
      </c>
      <c r="O15" s="13">
        <v>5.0</v>
      </c>
      <c r="P15" s="13" t="s">
        <v>23</v>
      </c>
      <c r="Q15" s="13" t="s">
        <v>23</v>
      </c>
      <c r="R15" s="13"/>
      <c r="S15" s="13" t="s">
        <v>23</v>
      </c>
      <c r="T15" s="13" t="s">
        <v>23</v>
      </c>
      <c r="U15" s="13" t="s">
        <v>23</v>
      </c>
    </row>
    <row r="16">
      <c r="A16" s="19" t="str">
        <f>HYPERLINK("https://docs.google.com/spreadsheets/d/1TniiK35-AGMNddj9lkge_tT9QfOGXMfX2thnTv8npTo/edit?usp=sharing","Robb Zbacnik")</f>
        <v>Robb Zbacnik</v>
      </c>
      <c r="B16" s="20">
        <v>5.0</v>
      </c>
      <c r="C16" s="21">
        <v>27.0</v>
      </c>
      <c r="D16" s="20">
        <v>6.0</v>
      </c>
      <c r="E16" s="22">
        <v>4.5</v>
      </c>
      <c r="F16" s="14">
        <v>0.056</v>
      </c>
      <c r="G16" s="21">
        <v>18.0</v>
      </c>
      <c r="H16" s="21" t="s">
        <v>23</v>
      </c>
      <c r="I16" s="10" t="s">
        <v>42</v>
      </c>
      <c r="J16" s="20" t="s">
        <v>60</v>
      </c>
      <c r="K16" s="20" t="s">
        <v>78</v>
      </c>
      <c r="L16" s="13">
        <v>4.0</v>
      </c>
      <c r="M16" s="13">
        <v>3.0</v>
      </c>
      <c r="N16" s="13" t="s">
        <v>23</v>
      </c>
      <c r="O16" s="13">
        <v>3.0</v>
      </c>
      <c r="P16" s="10" t="s">
        <v>23</v>
      </c>
      <c r="Q16" s="10" t="s">
        <v>23</v>
      </c>
      <c r="R16" s="10"/>
      <c r="S16" s="10" t="s">
        <v>23</v>
      </c>
      <c r="T16" s="10"/>
      <c r="U16" s="10" t="s">
        <v>23</v>
      </c>
    </row>
    <row r="17">
      <c r="A17" s="9" t="str">
        <f>HYPERLINK("https://docs.google.com/spreadsheets/d/1EZNO7rY3X3GsqJDX9iY8RpZJJDJ-K4nm_Mxm1g397N0/edit?usp=sharing","Clarence Black")</f>
        <v>Clarence Black</v>
      </c>
      <c r="B17" s="10">
        <v>3.0</v>
      </c>
      <c r="C17" s="10">
        <v>26.0</v>
      </c>
      <c r="D17" s="10">
        <v>7.0</v>
      </c>
      <c r="E17" s="11">
        <v>3.71</v>
      </c>
      <c r="F17" s="12">
        <v>0.052</v>
      </c>
      <c r="G17" s="10">
        <v>21.0</v>
      </c>
      <c r="H17" s="10" t="s">
        <v>23</v>
      </c>
      <c r="I17" s="10" t="s">
        <v>9</v>
      </c>
      <c r="J17" s="10" t="s">
        <v>60</v>
      </c>
      <c r="K17" s="10" t="s">
        <v>61</v>
      </c>
      <c r="L17" s="13">
        <v>3.0</v>
      </c>
      <c r="M17" s="13">
        <v>3.0</v>
      </c>
      <c r="N17" s="13" t="s">
        <v>23</v>
      </c>
      <c r="O17" s="13">
        <v>4.0</v>
      </c>
      <c r="P17" s="10" t="s">
        <v>23</v>
      </c>
      <c r="Q17" s="10" t="s">
        <v>23</v>
      </c>
      <c r="R17" s="10"/>
      <c r="S17" s="10" t="s">
        <v>23</v>
      </c>
      <c r="T17" s="10"/>
      <c r="U17" s="10" t="s">
        <v>23</v>
      </c>
    </row>
    <row r="18">
      <c r="A18" s="9" t="str">
        <f>HYPERLINK("https://docs.google.com/spreadsheets/d/1w0I5RoQ7uENhUG1ncC5V9B3b6BQapplx180-f9F9s4w/edit?usp=sharing","Jeanne Hebert")</f>
        <v>Jeanne Hebert</v>
      </c>
      <c r="B18" s="10">
        <v>6.0</v>
      </c>
      <c r="C18" s="10">
        <v>24.0</v>
      </c>
      <c r="D18" s="10">
        <v>5.0</v>
      </c>
      <c r="E18" s="11">
        <v>4.8</v>
      </c>
      <c r="F18" s="12">
        <v>0.0494</v>
      </c>
      <c r="G18" s="10">
        <v>15.0</v>
      </c>
      <c r="H18" s="10" t="s">
        <v>23</v>
      </c>
      <c r="I18" s="10" t="s">
        <v>42</v>
      </c>
      <c r="J18" s="10" t="s">
        <v>60</v>
      </c>
      <c r="K18" s="10" t="s">
        <v>106</v>
      </c>
      <c r="L18" s="13">
        <v>2.0</v>
      </c>
      <c r="M18" s="13">
        <v>2.0</v>
      </c>
      <c r="N18" s="13" t="s">
        <v>23</v>
      </c>
      <c r="O18" s="13">
        <v>3.0</v>
      </c>
      <c r="P18" s="10" t="s">
        <v>23</v>
      </c>
      <c r="Q18" s="10" t="s">
        <v>23</v>
      </c>
      <c r="R18" s="10"/>
      <c r="S18" s="10" t="s">
        <v>23</v>
      </c>
      <c r="T18" s="10"/>
      <c r="U18" s="10" t="s">
        <v>23</v>
      </c>
    </row>
    <row r="19">
      <c r="A19" s="9" t="str">
        <f>HYPERLINK("https://docs.google.com/spreadsheets/d/14eN4V4imd53x81UQVckjyAx_2xIFGXJ8NE4XmE1oDkg/edit?usp=sharing","Joel Klug")</f>
        <v>Joel Klug</v>
      </c>
      <c r="B19" s="10">
        <v>1.0</v>
      </c>
      <c r="C19" s="10">
        <v>22.0</v>
      </c>
      <c r="D19" s="10">
        <v>6.0</v>
      </c>
      <c r="E19" s="11">
        <v>3.67</v>
      </c>
      <c r="F19" s="14">
        <v>0.0335</v>
      </c>
      <c r="G19" s="10">
        <v>18.0</v>
      </c>
      <c r="H19" s="10" t="s">
        <v>23</v>
      </c>
      <c r="I19" s="10" t="s">
        <v>42</v>
      </c>
      <c r="J19" s="10" t="s">
        <v>60</v>
      </c>
      <c r="K19" s="10" t="s">
        <v>78</v>
      </c>
      <c r="L19" s="13">
        <v>4.0</v>
      </c>
      <c r="M19" s="13">
        <v>2.0</v>
      </c>
      <c r="N19" s="13" t="s">
        <v>23</v>
      </c>
      <c r="O19" s="13">
        <v>3.0</v>
      </c>
      <c r="P19" s="10" t="s">
        <v>23</v>
      </c>
      <c r="Q19" s="10" t="s">
        <v>23</v>
      </c>
      <c r="R19" s="10"/>
      <c r="S19" s="10" t="s">
        <v>23</v>
      </c>
      <c r="T19" s="10"/>
      <c r="U19" s="10" t="s">
        <v>23</v>
      </c>
    </row>
    <row r="20">
      <c r="A20" s="19" t="str">
        <f>HYPERLINK("https://docs.google.com/spreadsheets/d/1TniiK35-AGMNddj9lkge_tT9QfOGXMfX2thnTv8npTo/edit?usp=sharing","Ghandia Johnson")</f>
        <v>Ghandia Johnson</v>
      </c>
      <c r="B20" s="20">
        <v>5.0</v>
      </c>
      <c r="C20" s="20">
        <v>22.0</v>
      </c>
      <c r="D20" s="20">
        <v>4.0</v>
      </c>
      <c r="E20" s="26">
        <v>5.5</v>
      </c>
      <c r="F20" s="14">
        <v>0.0455</v>
      </c>
      <c r="G20" s="21">
        <v>12.0</v>
      </c>
      <c r="H20" s="21" t="s">
        <v>23</v>
      </c>
      <c r="I20" s="10" t="s">
        <v>42</v>
      </c>
      <c r="J20" s="20" t="s">
        <v>60</v>
      </c>
      <c r="K20" s="20" t="s">
        <v>107</v>
      </c>
      <c r="L20" s="13">
        <v>1.0</v>
      </c>
      <c r="M20" s="13">
        <v>1.0</v>
      </c>
      <c r="N20" s="13" t="s">
        <v>23</v>
      </c>
      <c r="O20" s="13">
        <v>3.0</v>
      </c>
      <c r="P20" s="10" t="s">
        <v>23</v>
      </c>
      <c r="Q20" s="10" t="s">
        <v>23</v>
      </c>
      <c r="R20" s="10"/>
      <c r="S20" s="10" t="s">
        <v>23</v>
      </c>
      <c r="T20" s="10"/>
      <c r="U20" s="10" t="s">
        <v>23</v>
      </c>
    </row>
    <row r="21">
      <c r="A21" s="9" t="str">
        <f>HYPERLINK("https://docs.google.com/spreadsheets/d/1LR80O0PvsOvoTuN5gHQd3Rls4b1rZmJd7EZ_DR2oRHs/edit?usp=sharing","Corinne Kaplan")</f>
        <v>Corinne Kaplan</v>
      </c>
      <c r="B21" s="10">
        <v>26.0</v>
      </c>
      <c r="C21" s="10">
        <v>22.0</v>
      </c>
      <c r="D21" s="10">
        <v>8.0</v>
      </c>
      <c r="E21" s="11">
        <v>2.75</v>
      </c>
      <c r="F21" s="12">
        <v>0.0533</v>
      </c>
      <c r="G21" s="10">
        <v>22.0</v>
      </c>
      <c r="H21" s="10">
        <v>3.0</v>
      </c>
      <c r="I21" s="10" t="s">
        <v>9</v>
      </c>
      <c r="J21" s="10" t="s">
        <v>60</v>
      </c>
      <c r="K21" s="10" t="s">
        <v>82</v>
      </c>
      <c r="L21" s="13">
        <v>6.0</v>
      </c>
      <c r="M21" s="13">
        <v>3.0</v>
      </c>
      <c r="N21" s="13" t="s">
        <v>23</v>
      </c>
      <c r="O21" s="13">
        <v>5.0</v>
      </c>
      <c r="P21" s="10" t="s">
        <v>23</v>
      </c>
      <c r="Q21" s="10" t="s">
        <v>23</v>
      </c>
      <c r="R21" s="10"/>
      <c r="S21" s="10" t="s">
        <v>23</v>
      </c>
      <c r="T21" s="10"/>
      <c r="U21" s="10" t="s">
        <v>23</v>
      </c>
    </row>
    <row r="22">
      <c r="A22" s="15" t="str">
        <f>HYPERLINK("https://docs.google.com/spreadsheets/d/1sWOJC8eB6rVdXdWiWMgfbfgw2325jIh1ODKxyaCmSGc/edit?usp=sharing","Amy O'Hara")</f>
        <v>Amy O'Hara</v>
      </c>
      <c r="B22" s="13">
        <v>11.0</v>
      </c>
      <c r="C22" s="13">
        <v>22.0</v>
      </c>
      <c r="D22" s="13">
        <v>7.0</v>
      </c>
      <c r="E22" s="16">
        <v>3.14</v>
      </c>
      <c r="F22" s="17">
        <v>0.0499</v>
      </c>
      <c r="G22" s="13">
        <v>18.0</v>
      </c>
      <c r="H22" s="13">
        <v>1.0</v>
      </c>
      <c r="I22" s="13" t="s">
        <v>42</v>
      </c>
      <c r="J22" s="13" t="s">
        <v>60</v>
      </c>
      <c r="K22" s="13" t="s">
        <v>85</v>
      </c>
      <c r="L22" s="13">
        <v>3.0</v>
      </c>
      <c r="M22" s="13">
        <v>2.0</v>
      </c>
      <c r="N22" s="13" t="s">
        <v>23</v>
      </c>
      <c r="O22" s="13">
        <v>5.0</v>
      </c>
      <c r="P22" s="13" t="s">
        <v>23</v>
      </c>
      <c r="Q22" s="13" t="s">
        <v>23</v>
      </c>
      <c r="R22" s="13"/>
      <c r="S22" s="13" t="s">
        <v>23</v>
      </c>
      <c r="T22" s="13" t="s">
        <v>23</v>
      </c>
      <c r="U22" s="13" t="s">
        <v>23</v>
      </c>
    </row>
    <row r="23">
      <c r="A23" s="15" t="str">
        <f>HYPERLINK("https://docs.google.com/spreadsheets/d/1tElnwN2HVf964gGw8Ei53RyfjarS40wkDY3zivAPWp0/edit?usp=sharing","Sandra Diaz-Twine")</f>
        <v>Sandra Diaz-Twine</v>
      </c>
      <c r="B23" s="13">
        <v>34.0</v>
      </c>
      <c r="C23" s="13">
        <v>21.0</v>
      </c>
      <c r="D23" s="13">
        <v>6.0</v>
      </c>
      <c r="E23" s="16">
        <v>3.5</v>
      </c>
      <c r="F23" s="17">
        <v>0.051</v>
      </c>
      <c r="G23" s="13">
        <v>16.0</v>
      </c>
      <c r="H23" s="13" t="s">
        <v>23</v>
      </c>
      <c r="I23" s="13" t="s">
        <v>42</v>
      </c>
      <c r="J23" s="13" t="s">
        <v>60</v>
      </c>
      <c r="K23" s="13" t="s">
        <v>112</v>
      </c>
      <c r="L23" s="13">
        <v>3.0</v>
      </c>
      <c r="M23" s="13">
        <v>1.0</v>
      </c>
      <c r="N23" s="13" t="s">
        <v>23</v>
      </c>
      <c r="O23" s="13">
        <v>5.0</v>
      </c>
      <c r="P23" s="13" t="s">
        <v>23</v>
      </c>
      <c r="Q23" s="13" t="s">
        <v>23</v>
      </c>
      <c r="R23" s="13"/>
      <c r="S23" s="13" t="s">
        <v>23</v>
      </c>
      <c r="T23" s="13" t="s">
        <v>23</v>
      </c>
      <c r="U23" s="13" t="s">
        <v>23</v>
      </c>
    </row>
    <row r="24">
      <c r="A24" s="9" t="str">
        <f>HYPERLINK("https://docs.google.com/spreadsheets/d/1ReMaq-fM8zzflOjjrMrgnxEsdZxPIPIJqiZ9cCLO3cE/edit?usp=sharing","Russell Swan")</f>
        <v>Russell Swan</v>
      </c>
      <c r="B24" s="10">
        <v>25.0</v>
      </c>
      <c r="C24" s="10">
        <v>21.0</v>
      </c>
      <c r="D24" s="10">
        <v>4.0</v>
      </c>
      <c r="E24" s="11">
        <v>5.25</v>
      </c>
      <c r="F24" s="12">
        <v>0.0483</v>
      </c>
      <c r="G24" s="10">
        <v>10.0</v>
      </c>
      <c r="H24" s="10" t="s">
        <v>23</v>
      </c>
      <c r="I24" s="10" t="s">
        <v>42</v>
      </c>
      <c r="J24" s="10" t="s">
        <v>60</v>
      </c>
      <c r="K24" s="10" t="s">
        <v>113</v>
      </c>
      <c r="L24" s="13" t="s">
        <v>23</v>
      </c>
      <c r="M24" s="13" t="s">
        <v>23</v>
      </c>
      <c r="N24" s="13" t="s">
        <v>23</v>
      </c>
      <c r="O24" s="13">
        <v>4.0</v>
      </c>
      <c r="P24" s="10" t="s">
        <v>23</v>
      </c>
      <c r="Q24" s="10" t="s">
        <v>23</v>
      </c>
      <c r="R24" s="10"/>
      <c r="S24" s="10" t="s">
        <v>23</v>
      </c>
      <c r="T24" s="10"/>
      <c r="U24" s="10" t="s">
        <v>23</v>
      </c>
    </row>
    <row r="25">
      <c r="A25" s="9" t="str">
        <f>HYPERLINK("https://docs.google.com/spreadsheets/d/18wmIvmUS3SeZNSPQeUzr6sPl9GBYpVSlOaFR_kJCmKo/edit?usp=sharing","Michael Skupin")</f>
        <v>Michael Skupin</v>
      </c>
      <c r="B25" s="10">
        <v>2.0</v>
      </c>
      <c r="C25" s="10">
        <v>21.0</v>
      </c>
      <c r="D25" s="10">
        <v>6.0</v>
      </c>
      <c r="E25" s="11">
        <v>3.5</v>
      </c>
      <c r="F25" s="12">
        <v>0.0374</v>
      </c>
      <c r="G25" s="10">
        <v>17.0</v>
      </c>
      <c r="H25" s="10" t="s">
        <v>23</v>
      </c>
      <c r="I25" s="10" t="s">
        <v>42</v>
      </c>
      <c r="J25" s="10" t="s">
        <v>60</v>
      </c>
      <c r="K25" s="10" t="s">
        <v>78</v>
      </c>
      <c r="L25" s="13">
        <v>3.0</v>
      </c>
      <c r="M25" s="13">
        <v>3.0</v>
      </c>
      <c r="N25" s="13" t="s">
        <v>23</v>
      </c>
      <c r="O25" s="13">
        <v>2.0</v>
      </c>
      <c r="P25" s="10" t="s">
        <v>23</v>
      </c>
      <c r="Q25" s="10" t="s">
        <v>23</v>
      </c>
      <c r="R25" s="10"/>
      <c r="S25" s="10" t="s">
        <v>23</v>
      </c>
      <c r="T25" s="10"/>
      <c r="U25" s="10" t="s">
        <v>92</v>
      </c>
    </row>
    <row r="26">
      <c r="A26" s="15" t="str">
        <f>HYPERLINK("https://docs.google.com/spreadsheets/d/1sWOJC8eB6rVdXdWiWMgfbfgw2325jIh1ODKxyaCmSGc/edit?usp=sharing","Margaret Bobonich")</f>
        <v>Margaret Bobonich</v>
      </c>
      <c r="B26" s="13">
        <v>11.0</v>
      </c>
      <c r="C26" s="13">
        <v>21.0</v>
      </c>
      <c r="D26" s="13">
        <v>6.0</v>
      </c>
      <c r="E26" s="16">
        <v>3.5</v>
      </c>
      <c r="F26" s="17">
        <v>0.0476</v>
      </c>
      <c r="G26" s="13">
        <v>15.0</v>
      </c>
      <c r="H26" s="13" t="s">
        <v>23</v>
      </c>
      <c r="I26" s="13" t="s">
        <v>42</v>
      </c>
      <c r="J26" s="13" t="s">
        <v>60</v>
      </c>
      <c r="K26" s="13" t="s">
        <v>91</v>
      </c>
      <c r="L26" s="13">
        <v>5.0</v>
      </c>
      <c r="M26" s="13">
        <v>3.0</v>
      </c>
      <c r="N26" s="13" t="s">
        <v>23</v>
      </c>
      <c r="O26" s="13">
        <v>3.0</v>
      </c>
      <c r="P26" s="13" t="s">
        <v>23</v>
      </c>
      <c r="Q26" s="13" t="s">
        <v>23</v>
      </c>
      <c r="R26" s="13"/>
      <c r="S26" s="13" t="s">
        <v>23</v>
      </c>
      <c r="T26" s="13" t="s">
        <v>23</v>
      </c>
      <c r="U26" s="13" t="s">
        <v>23</v>
      </c>
    </row>
    <row r="27">
      <c r="A27" s="15" t="str">
        <f>HYPERLINK("https://docs.google.com/spreadsheets/d/1tElnwN2HVf964gGw8Ei53RyfjarS40wkDY3zivAPWp0/edit?usp=sharing","Jeff Varner")</f>
        <v>Jeff Varner</v>
      </c>
      <c r="B27" s="13">
        <v>34.0</v>
      </c>
      <c r="C27" s="13">
        <v>21.0</v>
      </c>
      <c r="D27" s="13">
        <v>7.0</v>
      </c>
      <c r="E27" s="16">
        <v>3.0</v>
      </c>
      <c r="F27" s="17">
        <v>0.051</v>
      </c>
      <c r="G27" s="13">
        <v>18.0</v>
      </c>
      <c r="H27" s="13" t="s">
        <v>23</v>
      </c>
      <c r="I27" s="13" t="s">
        <v>42</v>
      </c>
      <c r="J27" s="13" t="s">
        <v>60</v>
      </c>
      <c r="K27" s="13" t="s">
        <v>111</v>
      </c>
      <c r="L27" s="13">
        <v>4.0</v>
      </c>
      <c r="M27" s="13">
        <v>1.0</v>
      </c>
      <c r="N27" s="13" t="s">
        <v>23</v>
      </c>
      <c r="O27" s="13">
        <v>6.0</v>
      </c>
      <c r="P27" s="13" t="s">
        <v>23</v>
      </c>
      <c r="Q27" s="13" t="s">
        <v>23</v>
      </c>
      <c r="R27" s="13"/>
      <c r="S27" s="13" t="s">
        <v>23</v>
      </c>
      <c r="T27" s="13" t="s">
        <v>23</v>
      </c>
      <c r="U27" s="13" t="s">
        <v>23</v>
      </c>
    </row>
    <row r="28">
      <c r="A28" s="9" t="str">
        <f>HYPERLINK("https://docs.google.com/spreadsheets/d/1hg_GT4r2smQsgkwEYBqHOukVavnNSyncsyfceWDpOho/edit?usp=sharing","Ethan Zohn")</f>
        <v>Ethan Zohn</v>
      </c>
      <c r="B28" s="10">
        <v>8.0</v>
      </c>
      <c r="C28" s="10">
        <v>21.0</v>
      </c>
      <c r="D28" s="10">
        <v>8.0</v>
      </c>
      <c r="E28" s="11">
        <v>2.63</v>
      </c>
      <c r="F28" s="12">
        <v>0.0414</v>
      </c>
      <c r="G28" s="10">
        <v>21.0</v>
      </c>
      <c r="H28" s="10" t="s">
        <v>23</v>
      </c>
      <c r="I28" s="10" t="s">
        <v>42</v>
      </c>
      <c r="J28" s="10" t="s">
        <v>60</v>
      </c>
      <c r="K28" s="10" t="s">
        <v>85</v>
      </c>
      <c r="L28" s="13">
        <v>3.0</v>
      </c>
      <c r="M28" s="13">
        <v>1.0</v>
      </c>
      <c r="N28" s="13" t="s">
        <v>23</v>
      </c>
      <c r="O28" s="13">
        <v>5.0</v>
      </c>
      <c r="P28" s="10" t="s">
        <v>23</v>
      </c>
      <c r="Q28" s="10" t="s">
        <v>23</v>
      </c>
      <c r="R28" s="10"/>
      <c r="S28" s="10" t="s">
        <v>23</v>
      </c>
      <c r="T28" s="10"/>
      <c r="U28" s="10" t="s">
        <v>23</v>
      </c>
    </row>
    <row r="29">
      <c r="A29" s="9" t="str">
        <f>HYPERLINK("https://docs.google.com/spreadsheets/d/1hg_GT4r2smQsgkwEYBqHOukVavnNSyncsyfceWDpOho/edit?usp=sharing","Colby Donaldson")</f>
        <v>Colby Donaldson</v>
      </c>
      <c r="B29" s="10">
        <v>8.0</v>
      </c>
      <c r="C29" s="10">
        <v>21.0</v>
      </c>
      <c r="D29" s="10">
        <v>7.0</v>
      </c>
      <c r="E29" s="11">
        <v>3.0</v>
      </c>
      <c r="F29" s="12">
        <v>0.0414</v>
      </c>
      <c r="G29" s="10">
        <v>19.0</v>
      </c>
      <c r="H29" s="10">
        <v>1.0</v>
      </c>
      <c r="I29" s="10" t="s">
        <v>42</v>
      </c>
      <c r="J29" s="10" t="s">
        <v>60</v>
      </c>
      <c r="K29" s="10" t="s">
        <v>105</v>
      </c>
      <c r="L29" s="13">
        <v>4.0</v>
      </c>
      <c r="M29" s="13">
        <v>3.0</v>
      </c>
      <c r="N29" s="13" t="s">
        <v>23</v>
      </c>
      <c r="O29" s="13">
        <v>2.0</v>
      </c>
      <c r="P29" s="10" t="s">
        <v>23</v>
      </c>
      <c r="Q29" s="10" t="s">
        <v>23</v>
      </c>
      <c r="R29" s="10"/>
      <c r="S29" s="10" t="s">
        <v>23</v>
      </c>
      <c r="T29" s="10"/>
      <c r="U29" s="10" t="s">
        <v>23</v>
      </c>
    </row>
    <row r="30">
      <c r="A30" s="9" t="str">
        <f>HYPERLINK("https://docs.google.com/spreadsheets/d/1w0I5RoQ7uENhUG1ncC5V9B3b6BQapplx180-f9F9s4w/edit?usp=sharing","Shawna Mitchell")</f>
        <v>Shawna Mitchell</v>
      </c>
      <c r="B30" s="10">
        <v>6.0</v>
      </c>
      <c r="C30" s="10">
        <v>20.0</v>
      </c>
      <c r="D30" s="10">
        <v>6.0</v>
      </c>
      <c r="E30" s="11">
        <v>3.33</v>
      </c>
      <c r="F30" s="12">
        <v>0.0412</v>
      </c>
      <c r="G30" s="10">
        <v>18.0</v>
      </c>
      <c r="H30" s="10" t="s">
        <v>23</v>
      </c>
      <c r="I30" s="10" t="s">
        <v>42</v>
      </c>
      <c r="J30" s="10" t="s">
        <v>60</v>
      </c>
      <c r="K30" s="10" t="s">
        <v>78</v>
      </c>
      <c r="L30" s="13">
        <v>2.0</v>
      </c>
      <c r="M30" s="13">
        <v>3.0</v>
      </c>
      <c r="N30" s="13" t="s">
        <v>23</v>
      </c>
      <c r="O30" s="13">
        <v>3.0</v>
      </c>
      <c r="P30" s="10" t="s">
        <v>23</v>
      </c>
      <c r="Q30" s="10" t="s">
        <v>23</v>
      </c>
      <c r="R30" s="10"/>
      <c r="S30" s="10" t="s">
        <v>23</v>
      </c>
      <c r="T30" s="10"/>
      <c r="U30" s="10" t="s">
        <v>23</v>
      </c>
    </row>
    <row r="31">
      <c r="A31" s="9" t="str">
        <f>HYPERLINK("https://docs.google.com/spreadsheets/d/1tPYt5CqjX32YXnh0BRsechvszEP2n4_ePabpiRTSzqE/edit?usp=sharing","Shawn Cohen")</f>
        <v>Shawn Cohen</v>
      </c>
      <c r="B31" s="10">
        <v>7.0</v>
      </c>
      <c r="C31" s="10">
        <v>20.0</v>
      </c>
      <c r="D31" s="10">
        <v>7.0</v>
      </c>
      <c r="E31" s="11">
        <v>2.86</v>
      </c>
      <c r="F31" s="12">
        <v>0.0399</v>
      </c>
      <c r="G31" s="10">
        <v>19.0</v>
      </c>
      <c r="H31" s="10" t="s">
        <v>23</v>
      </c>
      <c r="I31" s="10" t="s">
        <v>42</v>
      </c>
      <c r="J31" s="10" t="s">
        <v>60</v>
      </c>
      <c r="K31" s="10" t="s">
        <v>106</v>
      </c>
      <c r="L31" s="13">
        <v>4.0</v>
      </c>
      <c r="M31" s="13">
        <v>3.0</v>
      </c>
      <c r="N31" s="13" t="s">
        <v>23</v>
      </c>
      <c r="O31" s="13">
        <v>4.0</v>
      </c>
      <c r="P31" s="10" t="s">
        <v>23</v>
      </c>
      <c r="Q31" s="10" t="s">
        <v>23</v>
      </c>
      <c r="R31" s="10"/>
      <c r="S31" s="10" t="s">
        <v>23</v>
      </c>
      <c r="T31" s="10"/>
      <c r="U31" s="10" t="s">
        <v>23</v>
      </c>
    </row>
    <row r="32">
      <c r="A32" s="9" t="str">
        <f>HYPERLINK("https://docs.google.com/spreadsheets/d/1hg_GT4r2smQsgkwEYBqHOukVavnNSyncsyfceWDpOho/edit?usp=sharing","Richard Hatch")</f>
        <v>Richard Hatch</v>
      </c>
      <c r="B32" s="10">
        <v>8.0</v>
      </c>
      <c r="C32" s="10">
        <v>20.0</v>
      </c>
      <c r="D32" s="10">
        <v>5.0</v>
      </c>
      <c r="E32" s="11">
        <v>4.0</v>
      </c>
      <c r="F32" s="12">
        <v>0.0394</v>
      </c>
      <c r="G32" s="10">
        <v>15.0</v>
      </c>
      <c r="H32" s="10" t="s">
        <v>23</v>
      </c>
      <c r="I32" s="10" t="s">
        <v>42</v>
      </c>
      <c r="J32" s="10" t="s">
        <v>60</v>
      </c>
      <c r="K32" s="10" t="s">
        <v>114</v>
      </c>
      <c r="L32" s="13">
        <v>3.0</v>
      </c>
      <c r="M32" s="13">
        <v>3.0</v>
      </c>
      <c r="N32" s="13" t="s">
        <v>23</v>
      </c>
      <c r="O32" s="13">
        <v>1.0</v>
      </c>
      <c r="P32" s="10" t="s">
        <v>23</v>
      </c>
      <c r="Q32" s="10" t="s">
        <v>23</v>
      </c>
      <c r="R32" s="10"/>
      <c r="S32" s="10" t="s">
        <v>23</v>
      </c>
      <c r="T32" s="10"/>
      <c r="U32" s="10" t="s">
        <v>23</v>
      </c>
    </row>
    <row r="33">
      <c r="A33" s="9" t="str">
        <f>HYPERLINK("https://docs.google.com/spreadsheets/d/1X-5lK1sJCBpvE08rC1VdSsGvayqyrC62cK7W45Q4XX8/edit?usp=sharing","John Cody")</f>
        <v>John Cody</v>
      </c>
      <c r="B33" s="10">
        <v>27.0</v>
      </c>
      <c r="C33" s="10">
        <v>20.0</v>
      </c>
      <c r="D33" s="10">
        <v>8.0</v>
      </c>
      <c r="E33" s="11">
        <v>2.5</v>
      </c>
      <c r="F33" s="12">
        <v>0.0462</v>
      </c>
      <c r="G33" s="10">
        <v>19.0</v>
      </c>
      <c r="H33" s="10">
        <v>2.0</v>
      </c>
      <c r="I33" s="10" t="s">
        <v>42</v>
      </c>
      <c r="J33" s="10" t="s">
        <v>60</v>
      </c>
      <c r="K33" s="10" t="s">
        <v>100</v>
      </c>
      <c r="L33" s="13" t="s">
        <v>23</v>
      </c>
      <c r="M33" s="13" t="s">
        <v>23</v>
      </c>
      <c r="N33" s="13" t="s">
        <v>23</v>
      </c>
      <c r="O33" s="13">
        <v>3.0</v>
      </c>
      <c r="P33" s="13" t="s">
        <v>23</v>
      </c>
      <c r="Q33" s="13">
        <v>1.0</v>
      </c>
      <c r="R33" s="13"/>
      <c r="S33" s="10" t="s">
        <v>23</v>
      </c>
      <c r="T33" s="10"/>
      <c r="U33" s="10" t="s">
        <v>23</v>
      </c>
    </row>
    <row r="34">
      <c r="A34" s="9" t="str">
        <f>HYPERLINK("https://docs.google.com/spreadsheets/d/1X-5lK1sJCBpvE08rC1VdSsGvayqyrC62cK7W45Q4XX8/edit?usp=sharing","Brad Culpepper")</f>
        <v>Brad Culpepper</v>
      </c>
      <c r="B34" s="10">
        <v>27.0</v>
      </c>
      <c r="C34" s="10">
        <v>20.0</v>
      </c>
      <c r="D34" s="10">
        <v>6.0</v>
      </c>
      <c r="E34" s="11">
        <v>3.33</v>
      </c>
      <c r="F34" s="12">
        <v>0.0462</v>
      </c>
      <c r="G34" s="10">
        <v>14.0</v>
      </c>
      <c r="H34" s="10">
        <v>1.0</v>
      </c>
      <c r="I34" s="10" t="s">
        <v>42</v>
      </c>
      <c r="J34" s="10" t="s">
        <v>60</v>
      </c>
      <c r="K34" s="10" t="s">
        <v>112</v>
      </c>
      <c r="L34" s="13" t="s">
        <v>23</v>
      </c>
      <c r="M34" s="13" t="s">
        <v>23</v>
      </c>
      <c r="N34" s="13" t="s">
        <v>23</v>
      </c>
      <c r="O34" s="13">
        <v>4.0</v>
      </c>
      <c r="P34" s="13" t="s">
        <v>23</v>
      </c>
      <c r="Q34" s="13">
        <v>1.0</v>
      </c>
      <c r="R34" s="13"/>
      <c r="S34" s="10" t="s">
        <v>23</v>
      </c>
      <c r="T34" s="10"/>
      <c r="U34" s="10" t="s">
        <v>23</v>
      </c>
    </row>
    <row r="35">
      <c r="A35" s="9" t="str">
        <f>HYPERLINK("https://docs.google.com/spreadsheets/d/1EZNO7rY3X3GsqJDX9iY8RpZJJDJ-K4nm_Mxm1g397N0/edit?usp=sharing","Silas Gaither")</f>
        <v>Silas Gaither</v>
      </c>
      <c r="B35" s="10">
        <v>3.0</v>
      </c>
      <c r="C35" s="10">
        <v>19.0</v>
      </c>
      <c r="D35" s="10">
        <v>5.0</v>
      </c>
      <c r="E35" s="11">
        <v>3.8</v>
      </c>
      <c r="F35" s="12">
        <v>0.038</v>
      </c>
      <c r="G35" s="10">
        <v>15.0</v>
      </c>
      <c r="H35" s="10">
        <v>1.0</v>
      </c>
      <c r="I35" s="10" t="s">
        <v>42</v>
      </c>
      <c r="J35" s="10" t="s">
        <v>60</v>
      </c>
      <c r="K35" s="10" t="s">
        <v>106</v>
      </c>
      <c r="L35" s="13">
        <v>4.0</v>
      </c>
      <c r="M35" s="13">
        <v>2.0</v>
      </c>
      <c r="N35" s="13" t="s">
        <v>23</v>
      </c>
      <c r="O35" s="13">
        <v>3.0</v>
      </c>
      <c r="P35" s="10" t="s">
        <v>23</v>
      </c>
      <c r="Q35" s="10" t="s">
        <v>23</v>
      </c>
      <c r="R35" s="10"/>
      <c r="S35" s="10" t="s">
        <v>23</v>
      </c>
      <c r="T35" s="10"/>
      <c r="U35" s="10" t="s">
        <v>23</v>
      </c>
    </row>
    <row r="36">
      <c r="A36" s="9" t="str">
        <f>HYPERLINK("https://docs.google.com/spreadsheets/d/14eN4V4imd53x81UQVckjyAx_2xIFGXJ8NE4XmE1oDkg/edit?usp=sharing","Ramona Gray")</f>
        <v>Ramona Gray</v>
      </c>
      <c r="B36" s="10">
        <v>1.0</v>
      </c>
      <c r="C36" s="10">
        <v>19.0</v>
      </c>
      <c r="D36" s="10">
        <v>4.0</v>
      </c>
      <c r="E36" s="11">
        <v>4.75</v>
      </c>
      <c r="F36" s="14">
        <v>0.0289</v>
      </c>
      <c r="G36" s="10">
        <v>12.0</v>
      </c>
      <c r="H36" s="10">
        <v>1.0</v>
      </c>
      <c r="I36" s="10" t="s">
        <v>42</v>
      </c>
      <c r="J36" s="10" t="s">
        <v>60</v>
      </c>
      <c r="K36" s="10" t="s">
        <v>107</v>
      </c>
      <c r="L36" s="13">
        <v>2.0</v>
      </c>
      <c r="M36" s="13">
        <v>2.0</v>
      </c>
      <c r="N36" s="13" t="s">
        <v>23</v>
      </c>
      <c r="O36" s="13">
        <v>2.0</v>
      </c>
      <c r="P36" s="10" t="s">
        <v>23</v>
      </c>
      <c r="Q36" s="10" t="s">
        <v>23</v>
      </c>
      <c r="R36" s="10"/>
      <c r="S36" s="10" t="s">
        <v>23</v>
      </c>
      <c r="T36" s="10"/>
      <c r="U36" s="10" t="s">
        <v>23</v>
      </c>
    </row>
    <row r="37">
      <c r="A37" s="15" t="str">
        <f>HYPERLINK("https://docs.google.com/spreadsheets/d/1d8Hzm_QCJnDef8NF_dVYBZLjLjFI3Fl8Yt14m8Zhn8Y/edit?usp=sharing","James Miller")</f>
        <v>James Miller</v>
      </c>
      <c r="B37" s="13">
        <v>10.0</v>
      </c>
      <c r="C37" s="13">
        <v>19.0</v>
      </c>
      <c r="D37" s="13">
        <v>6.0</v>
      </c>
      <c r="E37" s="16">
        <v>3.17</v>
      </c>
      <c r="F37" s="17">
        <v>0.0445</v>
      </c>
      <c r="G37" s="13">
        <v>15.0</v>
      </c>
      <c r="H37" s="13" t="s">
        <v>23</v>
      </c>
      <c r="I37" s="13" t="s">
        <v>42</v>
      </c>
      <c r="J37" s="13" t="s">
        <v>60</v>
      </c>
      <c r="K37" s="13" t="s">
        <v>82</v>
      </c>
      <c r="L37" s="13">
        <v>3.0</v>
      </c>
      <c r="M37" s="13" t="s">
        <v>23</v>
      </c>
      <c r="N37" s="13" t="s">
        <v>23</v>
      </c>
      <c r="O37" s="13">
        <v>6.0</v>
      </c>
      <c r="P37" s="13" t="s">
        <v>23</v>
      </c>
      <c r="Q37" s="13" t="s">
        <v>23</v>
      </c>
      <c r="R37" s="13"/>
      <c r="S37" s="13" t="s">
        <v>23</v>
      </c>
      <c r="T37" s="13" t="s">
        <v>23</v>
      </c>
      <c r="U37" s="13" t="s">
        <v>23</v>
      </c>
    </row>
    <row r="38">
      <c r="A38" s="15" t="str">
        <f>HYPERLINK("https://docs.google.com/spreadsheets/d/1tElnwN2HVf964gGw8Ei53RyfjarS40wkDY3zivAPWp0/edit?usp=sharing","J.T. Thomas")</f>
        <v>J.T. Thomas</v>
      </c>
      <c r="B38" s="13">
        <v>34.0</v>
      </c>
      <c r="C38" s="13">
        <v>19.0</v>
      </c>
      <c r="D38" s="13">
        <v>5.0</v>
      </c>
      <c r="E38" s="16">
        <v>3.8</v>
      </c>
      <c r="F38" s="17">
        <v>0.0461</v>
      </c>
      <c r="G38" s="13">
        <v>13.0</v>
      </c>
      <c r="H38" s="13">
        <v>1.0</v>
      </c>
      <c r="I38" s="13" t="s">
        <v>42</v>
      </c>
      <c r="J38" s="13" t="s">
        <v>60</v>
      </c>
      <c r="K38" s="13" t="s">
        <v>103</v>
      </c>
      <c r="L38" s="13">
        <v>5.0</v>
      </c>
      <c r="M38" s="13">
        <v>3.0</v>
      </c>
      <c r="N38" s="13" t="s">
        <v>23</v>
      </c>
      <c r="O38" s="13">
        <v>2.0</v>
      </c>
      <c r="P38" s="13" t="s">
        <v>23</v>
      </c>
      <c r="Q38" s="13" t="s">
        <v>23</v>
      </c>
      <c r="R38" s="13"/>
      <c r="S38" s="13">
        <v>1.0</v>
      </c>
      <c r="T38" s="13" t="s">
        <v>23</v>
      </c>
      <c r="U38" s="13" t="s">
        <v>23</v>
      </c>
    </row>
    <row r="39">
      <c r="A39" s="9" t="str">
        <f>HYPERLINK("https://docs.google.com/spreadsheets/d/1tPYt5CqjX32YXnh0BRsechvszEP2n4_ePabpiRTSzqE/edit?usp=sharing","Osten Taylor")</f>
        <v>Osten Taylor</v>
      </c>
      <c r="B39" s="10">
        <v>7.0</v>
      </c>
      <c r="C39" s="10">
        <v>18.0</v>
      </c>
      <c r="D39" s="10">
        <v>7.0</v>
      </c>
      <c r="E39" s="11">
        <v>2.57</v>
      </c>
      <c r="F39" s="12">
        <v>0.0359</v>
      </c>
      <c r="G39" s="10">
        <v>19.0</v>
      </c>
      <c r="H39" s="10" t="s">
        <v>23</v>
      </c>
      <c r="I39" s="10" t="s">
        <v>42</v>
      </c>
      <c r="J39" s="10" t="s">
        <v>60</v>
      </c>
      <c r="K39" s="10" t="s">
        <v>78</v>
      </c>
      <c r="L39" s="13">
        <v>1.0</v>
      </c>
      <c r="M39" s="13">
        <v>3.0</v>
      </c>
      <c r="N39" s="13" t="s">
        <v>23</v>
      </c>
      <c r="O39" s="13">
        <v>4.0</v>
      </c>
      <c r="P39" s="10" t="s">
        <v>23</v>
      </c>
      <c r="Q39" s="10" t="s">
        <v>23</v>
      </c>
      <c r="R39" s="10"/>
      <c r="S39" s="10" t="s">
        <v>23</v>
      </c>
      <c r="T39" s="10"/>
      <c r="U39" s="10" t="s">
        <v>64</v>
      </c>
    </row>
    <row r="40">
      <c r="A40" s="9" t="str">
        <f>HYPERLINK("https://docs.google.com/spreadsheets/d/18wmIvmUS3SeZNSPQeUzr6sPl9GBYpVSlOaFR_kJCmKo/edit?usp=sharing","Mitchell Olson")</f>
        <v>Mitchell Olson</v>
      </c>
      <c r="B40" s="10">
        <v>2.0</v>
      </c>
      <c r="C40" s="10">
        <v>18.0</v>
      </c>
      <c r="D40" s="10">
        <v>4.0</v>
      </c>
      <c r="E40" s="11">
        <v>4.5</v>
      </c>
      <c r="F40" s="12">
        <v>0.0321</v>
      </c>
      <c r="G40" s="10">
        <v>12.0</v>
      </c>
      <c r="H40" s="10" t="s">
        <v>23</v>
      </c>
      <c r="I40" s="10" t="s">
        <v>42</v>
      </c>
      <c r="J40" s="10" t="s">
        <v>60</v>
      </c>
      <c r="K40" s="10" t="s">
        <v>107</v>
      </c>
      <c r="L40" s="13">
        <v>3.0</v>
      </c>
      <c r="M40" s="13">
        <v>1.0</v>
      </c>
      <c r="N40" s="13" t="s">
        <v>23</v>
      </c>
      <c r="O40" s="13">
        <v>3.0</v>
      </c>
      <c r="P40" s="10" t="s">
        <v>23</v>
      </c>
      <c r="Q40" s="10" t="s">
        <v>23</v>
      </c>
      <c r="R40" s="10"/>
      <c r="S40" s="10" t="s">
        <v>23</v>
      </c>
      <c r="T40" s="10"/>
      <c r="U40" s="10" t="s">
        <v>23</v>
      </c>
    </row>
    <row r="41">
      <c r="A41" s="15" t="str">
        <f>HYPERLINK("https://docs.google.com/spreadsheets/d/1sWOJC8eB6rVdXdWiWMgfbfgw2325jIh1ODKxyaCmSGc/edit?usp=sharing","Brian Corridan")</f>
        <v>Brian Corridan</v>
      </c>
      <c r="B41" s="13">
        <v>11.0</v>
      </c>
      <c r="C41" s="13">
        <v>18.0</v>
      </c>
      <c r="D41" s="13">
        <v>6.0</v>
      </c>
      <c r="E41" s="16">
        <v>3.0</v>
      </c>
      <c r="F41" s="17">
        <v>0.0408</v>
      </c>
      <c r="G41" s="13">
        <v>15.0</v>
      </c>
      <c r="H41" s="13" t="s">
        <v>23</v>
      </c>
      <c r="I41" s="13" t="s">
        <v>42</v>
      </c>
      <c r="J41" s="13" t="s">
        <v>60</v>
      </c>
      <c r="K41" s="13" t="s">
        <v>105</v>
      </c>
      <c r="L41" s="13">
        <v>1.0</v>
      </c>
      <c r="M41" s="13">
        <v>2.0</v>
      </c>
      <c r="N41" s="13" t="s">
        <v>23</v>
      </c>
      <c r="O41" s="13">
        <v>4.0</v>
      </c>
      <c r="P41" s="13" t="s">
        <v>23</v>
      </c>
      <c r="Q41" s="13" t="s">
        <v>23</v>
      </c>
      <c r="R41" s="13"/>
      <c r="S41" s="13" t="s">
        <v>23</v>
      </c>
      <c r="T41" s="13" t="s">
        <v>23</v>
      </c>
      <c r="U41" s="13" t="s">
        <v>23</v>
      </c>
    </row>
    <row r="42">
      <c r="A42" s="15" t="str">
        <f>HYPERLINK("https://docs.google.com/spreadsheets/d/1q-5bbq9txg93Y0eUACxRPTIN5PuRjeDVpNDfeXEw4iE/edit?usp=sharing","Jessica Johnston")</f>
        <v>Jessica Johnston</v>
      </c>
      <c r="B42" s="13">
        <v>35.0</v>
      </c>
      <c r="C42" s="13">
        <v>18.0</v>
      </c>
      <c r="D42" s="13">
        <v>7.0</v>
      </c>
      <c r="E42" s="16">
        <v>2.57</v>
      </c>
      <c r="F42" s="17">
        <v>0.0418</v>
      </c>
      <c r="G42" s="13">
        <v>19.0</v>
      </c>
      <c r="H42" s="13">
        <v>1.0</v>
      </c>
      <c r="I42" s="13" t="s">
        <v>9</v>
      </c>
      <c r="J42" s="13" t="s">
        <v>60</v>
      </c>
      <c r="K42" s="13" t="s">
        <v>105</v>
      </c>
      <c r="L42" s="13">
        <v>7.0</v>
      </c>
      <c r="M42" s="13">
        <v>6.0</v>
      </c>
      <c r="N42" s="13" t="s">
        <v>23</v>
      </c>
      <c r="O42" s="13">
        <v>1.0</v>
      </c>
      <c r="P42" s="13" t="s">
        <v>23</v>
      </c>
      <c r="Q42" s="13" t="s">
        <v>23</v>
      </c>
      <c r="R42" s="13"/>
      <c r="S42" s="13" t="s">
        <v>23</v>
      </c>
      <c r="T42" s="13">
        <v>1.0</v>
      </c>
      <c r="U42" s="13" t="s">
        <v>23</v>
      </c>
    </row>
    <row r="43">
      <c r="A43" s="15" t="str">
        <f>HYPERLINK("https://docs.google.com/spreadsheets/d/1t379i2CYDM1ZVdZZy_Nj2m3ht6Sp4J68-xZ2v4-PIMo/edit?usp=sharing","Peter Baggenstos")</f>
        <v>Peter Baggenstos</v>
      </c>
      <c r="B43" s="13">
        <v>32.0</v>
      </c>
      <c r="C43" s="13">
        <v>17.0</v>
      </c>
      <c r="D43" s="13">
        <v>6.0</v>
      </c>
      <c r="E43" s="16">
        <v>2.83</v>
      </c>
      <c r="F43" s="17">
        <v>0.0344</v>
      </c>
      <c r="G43" s="13">
        <v>16.0</v>
      </c>
      <c r="H43" s="13" t="s">
        <v>23</v>
      </c>
      <c r="I43" s="13" t="s">
        <v>42</v>
      </c>
      <c r="J43" s="13" t="s">
        <v>60</v>
      </c>
      <c r="K43" s="13" t="s">
        <v>105</v>
      </c>
      <c r="L43" s="13">
        <v>4.0</v>
      </c>
      <c r="M43" s="13">
        <v>3.0</v>
      </c>
      <c r="N43" s="13" t="s">
        <v>23</v>
      </c>
      <c r="O43" s="13">
        <v>3.0</v>
      </c>
      <c r="P43" s="13" t="s">
        <v>23</v>
      </c>
      <c r="Q43" s="13" t="s">
        <v>23</v>
      </c>
      <c r="R43" s="13"/>
      <c r="S43" s="13" t="s">
        <v>23</v>
      </c>
      <c r="T43" s="13"/>
      <c r="U43" s="13" t="s">
        <v>23</v>
      </c>
    </row>
    <row r="44">
      <c r="A44" s="9" t="str">
        <f>HYPERLINK("https://docs.google.com/spreadsheets/d/1X-5lK1sJCBpvE08rC1VdSsGvayqyrC62cK7W45Q4XX8/edit?usp=sharing","Laura Boneham")</f>
        <v>Laura Boneham</v>
      </c>
      <c r="B44" s="10">
        <v>27.0</v>
      </c>
      <c r="C44" s="10">
        <v>17.0</v>
      </c>
      <c r="D44" s="10">
        <v>8.0</v>
      </c>
      <c r="E44" s="11">
        <v>2.13</v>
      </c>
      <c r="F44" s="12">
        <v>0.0393</v>
      </c>
      <c r="G44" s="10">
        <v>19.0</v>
      </c>
      <c r="H44" s="10">
        <v>2.0</v>
      </c>
      <c r="I44" s="10" t="s">
        <v>42</v>
      </c>
      <c r="J44" s="10" t="s">
        <v>60</v>
      </c>
      <c r="K44" s="10" t="s">
        <v>82</v>
      </c>
      <c r="L44" s="13">
        <v>4.0</v>
      </c>
      <c r="M44" s="13">
        <v>4.0</v>
      </c>
      <c r="N44" s="13" t="s">
        <v>23</v>
      </c>
      <c r="O44" s="13">
        <v>3.0</v>
      </c>
      <c r="P44" s="13" t="s">
        <v>23</v>
      </c>
      <c r="Q44" s="13">
        <v>1.0</v>
      </c>
      <c r="R44" s="13"/>
      <c r="S44" s="10" t="s">
        <v>23</v>
      </c>
      <c r="T44" s="10"/>
      <c r="U44" s="10" t="s">
        <v>23</v>
      </c>
    </row>
    <row r="45">
      <c r="A45" s="9" t="str">
        <f>HYPERLINK("https://docs.google.com/spreadsheets/d/1CcEdjXKuhm6HmXecNbnscxpFab1HRQEjKSDga6QxqAU/edit?usp=sharing","Russell Hantz")</f>
        <v>Russell Hantz</v>
      </c>
      <c r="B45" s="10">
        <v>22.0</v>
      </c>
      <c r="C45" s="10">
        <v>16.0</v>
      </c>
      <c r="D45" s="10">
        <v>4.0</v>
      </c>
      <c r="E45" s="11">
        <v>4.0</v>
      </c>
      <c r="F45" s="12">
        <v>0.0377</v>
      </c>
      <c r="G45" s="10">
        <v>10.0</v>
      </c>
      <c r="H45" s="10">
        <v>1.0</v>
      </c>
      <c r="I45" s="10" t="s">
        <v>42</v>
      </c>
      <c r="J45" s="10" t="s">
        <v>60</v>
      </c>
      <c r="K45" s="10" t="s">
        <v>128</v>
      </c>
      <c r="L45" s="13">
        <v>2.0</v>
      </c>
      <c r="M45" s="13">
        <v>2.0</v>
      </c>
      <c r="N45" s="13" t="s">
        <v>23</v>
      </c>
      <c r="O45" s="13">
        <v>1.0</v>
      </c>
      <c r="P45" s="13" t="s">
        <v>23</v>
      </c>
      <c r="Q45" s="13">
        <v>1.0</v>
      </c>
      <c r="R45" s="13"/>
      <c r="S45" s="10" t="s">
        <v>23</v>
      </c>
      <c r="T45" s="10"/>
      <c r="U45" s="10" t="s">
        <v>23</v>
      </c>
    </row>
    <row r="46">
      <c r="A46" s="9" t="str">
        <f>HYPERLINK("https://docs.google.com/spreadsheets/d/18wmIvmUS3SeZNSPQeUzr6sPl9GBYpVSlOaFR_kJCmKo/edit?usp=sharing","Kimmi Kappenberg")</f>
        <v>Kimmi Kappenberg</v>
      </c>
      <c r="B46" s="10">
        <v>2.0</v>
      </c>
      <c r="C46" s="10">
        <v>16.0</v>
      </c>
      <c r="D46" s="10">
        <v>5.0</v>
      </c>
      <c r="E46" s="11">
        <v>3.2</v>
      </c>
      <c r="F46" s="12">
        <v>0.0285</v>
      </c>
      <c r="G46" s="10">
        <v>15.0</v>
      </c>
      <c r="H46" s="10" t="s">
        <v>23</v>
      </c>
      <c r="I46" s="10" t="s">
        <v>42</v>
      </c>
      <c r="J46" s="10" t="s">
        <v>60</v>
      </c>
      <c r="K46" s="10" t="s">
        <v>106</v>
      </c>
      <c r="L46" s="13">
        <v>2.0</v>
      </c>
      <c r="M46" s="13">
        <v>3.0</v>
      </c>
      <c r="N46" s="13" t="s">
        <v>23</v>
      </c>
      <c r="O46" s="13">
        <v>2.0</v>
      </c>
      <c r="P46" s="10" t="s">
        <v>23</v>
      </c>
      <c r="Q46" s="10" t="s">
        <v>23</v>
      </c>
      <c r="R46" s="10"/>
      <c r="S46" s="10" t="s">
        <v>23</v>
      </c>
      <c r="T46" s="10"/>
      <c r="U46" s="10" t="s">
        <v>23</v>
      </c>
    </row>
    <row r="47">
      <c r="A47" s="9" t="str">
        <f>HYPERLINK("https://docs.google.com/spreadsheets/d/1EsGJrNyA7pLwFUlZ6WfOkbnPz58Cle9N9c6epQSDRVA/edit?usp=sharing","Jeff Varner")</f>
        <v>Jeff Varner</v>
      </c>
      <c r="B47" s="10">
        <v>31.0</v>
      </c>
      <c r="C47" s="10">
        <v>16.0</v>
      </c>
      <c r="D47" s="10">
        <v>4.0</v>
      </c>
      <c r="E47" s="11">
        <v>4.0</v>
      </c>
      <c r="F47" s="12">
        <v>0.0365</v>
      </c>
      <c r="G47" s="10">
        <v>11.0</v>
      </c>
      <c r="H47" s="10" t="s">
        <v>23</v>
      </c>
      <c r="I47" s="10" t="s">
        <v>42</v>
      </c>
      <c r="J47" s="10" t="s">
        <v>60</v>
      </c>
      <c r="K47" s="10" t="s">
        <v>96</v>
      </c>
      <c r="L47" s="13">
        <v>2.0</v>
      </c>
      <c r="M47" s="13" t="s">
        <v>23</v>
      </c>
      <c r="N47" s="13" t="s">
        <v>23</v>
      </c>
      <c r="O47" s="13">
        <v>4.0</v>
      </c>
      <c r="P47" s="10" t="s">
        <v>23</v>
      </c>
      <c r="Q47" s="10" t="s">
        <v>23</v>
      </c>
      <c r="R47" s="10"/>
      <c r="S47" s="10" t="s">
        <v>23</v>
      </c>
      <c r="T47" s="10"/>
      <c r="U47" s="10" t="s">
        <v>23</v>
      </c>
    </row>
    <row r="48">
      <c r="A48" s="15" t="str">
        <f>HYPERLINK("https://docs.google.com/spreadsheets/d/1q-5bbq9txg93Y0eUACxRPTIN5PuRjeDVpNDfeXEw4iE/edit?usp=sharing","Alexandrea ""Ali"" Elliot")</f>
        <v>Alexandrea "Ali" Elliot</v>
      </c>
      <c r="B48" s="13">
        <v>35.0</v>
      </c>
      <c r="C48" s="13">
        <v>16.0</v>
      </c>
      <c r="D48" s="13">
        <v>6.0</v>
      </c>
      <c r="E48" s="16">
        <v>2.67</v>
      </c>
      <c r="F48" s="17">
        <v>0.0371</v>
      </c>
      <c r="G48" s="13">
        <v>16.0</v>
      </c>
      <c r="H48" s="13" t="s">
        <v>23</v>
      </c>
      <c r="I48" s="13" t="s">
        <v>42</v>
      </c>
      <c r="J48" s="13" t="s">
        <v>60</v>
      </c>
      <c r="K48" s="13" t="s">
        <v>91</v>
      </c>
      <c r="L48" s="13">
        <v>1.0</v>
      </c>
      <c r="M48" s="13">
        <v>2.0</v>
      </c>
      <c r="N48" s="13" t="s">
        <v>23</v>
      </c>
      <c r="O48" s="13">
        <v>4.0</v>
      </c>
      <c r="P48" s="13" t="s">
        <v>23</v>
      </c>
      <c r="Q48" s="13" t="s">
        <v>23</v>
      </c>
      <c r="R48" s="13"/>
      <c r="S48" s="13" t="s">
        <v>23</v>
      </c>
      <c r="T48" s="13" t="s">
        <v>23</v>
      </c>
      <c r="U48" s="13" t="s">
        <v>23</v>
      </c>
    </row>
    <row r="49">
      <c r="A49" s="18" t="s">
        <v>129</v>
      </c>
      <c r="B49" s="13">
        <v>40.0</v>
      </c>
      <c r="C49" s="13">
        <v>16.0</v>
      </c>
      <c r="D49" s="13">
        <v>7.0</v>
      </c>
      <c r="E49" s="16">
        <v>2.29</v>
      </c>
      <c r="F49" s="17">
        <v>0.0279</v>
      </c>
      <c r="G49" s="13">
        <v>16.0</v>
      </c>
      <c r="H49" s="13">
        <v>2.0</v>
      </c>
      <c r="I49" s="13" t="s">
        <v>42</v>
      </c>
      <c r="J49" s="13" t="s">
        <v>60</v>
      </c>
      <c r="K49" s="13" t="s">
        <v>112</v>
      </c>
      <c r="L49" s="13">
        <v>3.0</v>
      </c>
      <c r="M49" s="13">
        <v>4.0</v>
      </c>
      <c r="N49" s="13" t="s">
        <v>23</v>
      </c>
      <c r="O49" s="13">
        <v>3.0</v>
      </c>
      <c r="P49" s="13" t="s">
        <v>23</v>
      </c>
      <c r="Q49" s="13" t="s">
        <v>23</v>
      </c>
      <c r="R49" s="13">
        <v>1.0</v>
      </c>
      <c r="S49" s="13">
        <v>1.0</v>
      </c>
      <c r="T49" s="13" t="s">
        <v>23</v>
      </c>
      <c r="U49" s="13" t="s">
        <v>130</v>
      </c>
    </row>
    <row r="50">
      <c r="A50" s="9" t="str">
        <f>HYPERLINK("https://docs.google.com/spreadsheets/d/1CcEdjXKuhm6HmXecNbnscxpFab1HRQEjKSDga6QxqAU/edit?usp=sharing","Stephanie Valencia")</f>
        <v>Stephanie Valencia</v>
      </c>
      <c r="B50" s="10">
        <v>22.0</v>
      </c>
      <c r="C50" s="10">
        <v>15.0</v>
      </c>
      <c r="D50" s="10">
        <v>7.0</v>
      </c>
      <c r="E50" s="11">
        <v>2.14</v>
      </c>
      <c r="F50" s="12">
        <v>0.0354</v>
      </c>
      <c r="G50" s="10">
        <v>17.0</v>
      </c>
      <c r="H50" s="10">
        <v>2.0</v>
      </c>
      <c r="I50" s="10" t="s">
        <v>42</v>
      </c>
      <c r="J50" s="10" t="s">
        <v>60</v>
      </c>
      <c r="K50" s="10" t="s">
        <v>114</v>
      </c>
      <c r="L50" s="13">
        <v>3.0</v>
      </c>
      <c r="M50" s="13">
        <v>3.0</v>
      </c>
      <c r="N50" s="13" t="s">
        <v>23</v>
      </c>
      <c r="O50" s="13">
        <v>3.0</v>
      </c>
      <c r="P50" s="13" t="s">
        <v>23</v>
      </c>
      <c r="Q50" s="13">
        <v>1.0</v>
      </c>
      <c r="R50" s="13"/>
      <c r="S50" s="10" t="s">
        <v>23</v>
      </c>
      <c r="T50" s="10"/>
      <c r="U50" s="10" t="s">
        <v>23</v>
      </c>
    </row>
    <row r="51">
      <c r="A51" s="15" t="str">
        <f>HYPERLINK("https://docs.google.com/spreadsheets/d/1ZajpFwOHrMmupCcACeLhLTzPOwhTrjKRR1FJtUgeLww/edit?usp=sharing","Michaela Bradshaw")</f>
        <v>Michaela Bradshaw</v>
      </c>
      <c r="B51" s="13">
        <v>33.0</v>
      </c>
      <c r="C51" s="13">
        <v>15.0</v>
      </c>
      <c r="D51" s="13">
        <v>7.0</v>
      </c>
      <c r="E51" s="16">
        <v>2.14</v>
      </c>
      <c r="F51" s="17">
        <v>0.0345</v>
      </c>
      <c r="G51" s="13">
        <v>20.0</v>
      </c>
      <c r="H51" s="13" t="s">
        <v>23</v>
      </c>
      <c r="I51" s="13" t="s">
        <v>42</v>
      </c>
      <c r="J51" s="13" t="s">
        <v>60</v>
      </c>
      <c r="K51" s="13" t="s">
        <v>111</v>
      </c>
      <c r="L51" s="13">
        <v>4.0</v>
      </c>
      <c r="M51" s="13">
        <v>5.0</v>
      </c>
      <c r="N51" s="13" t="s">
        <v>23</v>
      </c>
      <c r="O51" s="13">
        <v>2.0</v>
      </c>
      <c r="P51" s="13" t="s">
        <v>23</v>
      </c>
      <c r="Q51" s="13" t="s">
        <v>23</v>
      </c>
      <c r="R51" s="13"/>
      <c r="S51" s="13" t="s">
        <v>23</v>
      </c>
      <c r="T51" s="13" t="s">
        <v>23</v>
      </c>
      <c r="U51" s="13" t="s">
        <v>23</v>
      </c>
    </row>
    <row r="52">
      <c r="A52" s="9" t="str">
        <f>HYPERLINK("https://docs.google.com/spreadsheets/d/1X-5lK1sJCBpvE08rC1VdSsGvayqyrC62cK7W45Q4XX8/edit?usp=sharing","Colton Cumbie")</f>
        <v>Colton Cumbie</v>
      </c>
      <c r="B52" s="10">
        <v>27.0</v>
      </c>
      <c r="C52" s="10">
        <v>15.0</v>
      </c>
      <c r="D52" s="10">
        <v>3.0</v>
      </c>
      <c r="E52" s="11">
        <v>5.0</v>
      </c>
      <c r="F52" s="12">
        <v>0.0346</v>
      </c>
      <c r="G52" s="10">
        <v>7.0</v>
      </c>
      <c r="H52" s="10" t="s">
        <v>23</v>
      </c>
      <c r="I52" s="10" t="s">
        <v>42</v>
      </c>
      <c r="J52" s="10" t="s">
        <v>60</v>
      </c>
      <c r="K52" s="10" t="s">
        <v>131</v>
      </c>
      <c r="L52" s="13">
        <v>2.0</v>
      </c>
      <c r="M52" s="13">
        <v>2.0</v>
      </c>
      <c r="N52" s="13" t="s">
        <v>23</v>
      </c>
      <c r="O52" s="13" t="s">
        <v>23</v>
      </c>
      <c r="P52" s="13" t="s">
        <v>23</v>
      </c>
      <c r="Q52" s="13" t="s">
        <v>23</v>
      </c>
      <c r="R52" s="13"/>
      <c r="S52" s="10" t="s">
        <v>23</v>
      </c>
      <c r="T52" s="10"/>
      <c r="U52" s="10" t="s">
        <v>64</v>
      </c>
    </row>
    <row r="53">
      <c r="A53" s="15" t="str">
        <f>HYPERLINK("https://docs.google.com/spreadsheets/d/1t379i2CYDM1ZVdZZy_Nj2m3ht6Sp4J68-xZ2v4-PIMo/edit?usp=sharing","Alecia Holden")</f>
        <v>Alecia Holden</v>
      </c>
      <c r="B53" s="13">
        <v>32.0</v>
      </c>
      <c r="C53" s="13">
        <v>15.0</v>
      </c>
      <c r="D53" s="13">
        <v>4.0</v>
      </c>
      <c r="E53" s="16">
        <v>3.75</v>
      </c>
      <c r="F53" s="17">
        <v>0.0304</v>
      </c>
      <c r="G53" s="13">
        <v>11.0</v>
      </c>
      <c r="H53" s="13" t="s">
        <v>23</v>
      </c>
      <c r="I53" s="13" t="s">
        <v>42</v>
      </c>
      <c r="J53" s="13" t="s">
        <v>60</v>
      </c>
      <c r="K53" s="13" t="s">
        <v>114</v>
      </c>
      <c r="L53" s="13">
        <v>1.0</v>
      </c>
      <c r="M53" s="13">
        <v>1.0</v>
      </c>
      <c r="N53" s="13" t="s">
        <v>23</v>
      </c>
      <c r="O53" s="13">
        <v>3.0</v>
      </c>
      <c r="P53" s="13" t="s">
        <v>23</v>
      </c>
      <c r="Q53" s="13" t="s">
        <v>23</v>
      </c>
      <c r="R53" s="13"/>
      <c r="S53" s="13" t="s">
        <v>23</v>
      </c>
      <c r="T53" s="13"/>
      <c r="U53" s="13" t="s">
        <v>23</v>
      </c>
    </row>
    <row r="54">
      <c r="A54" s="15" t="str">
        <f>HYPERLINK("https://docs.google.com/spreadsheets/d/1Hf_PbZTXAuooCoiF7c3Bz80t5-zCjdWHF8wQ_HyodNs/edit?usp=sharing","Jacob Derwin")</f>
        <v>Jacob Derwin</v>
      </c>
      <c r="B54" s="13">
        <v>36.0</v>
      </c>
      <c r="C54" s="13">
        <v>15.0</v>
      </c>
      <c r="D54" s="13">
        <v>2.0</v>
      </c>
      <c r="E54" s="16">
        <v>7.5</v>
      </c>
      <c r="F54" s="17">
        <v>0.0382</v>
      </c>
      <c r="G54" s="13">
        <v>6.0</v>
      </c>
      <c r="H54" s="13" t="s">
        <v>23</v>
      </c>
      <c r="I54" s="13" t="s">
        <v>42</v>
      </c>
      <c r="J54" s="13" t="s">
        <v>60</v>
      </c>
      <c r="K54" s="13" t="s">
        <v>131</v>
      </c>
      <c r="L54" s="13">
        <v>1.0</v>
      </c>
      <c r="M54" s="13" t="s">
        <v>23</v>
      </c>
      <c r="N54" s="13" t="s">
        <v>23</v>
      </c>
      <c r="O54" s="13">
        <v>1.0</v>
      </c>
      <c r="P54" s="13">
        <v>1.0</v>
      </c>
      <c r="Q54" s="13" t="s">
        <v>23</v>
      </c>
      <c r="R54" s="13"/>
      <c r="S54" s="13" t="s">
        <v>23</v>
      </c>
      <c r="T54" s="13">
        <v>1.0</v>
      </c>
      <c r="U54" s="13" t="s">
        <v>23</v>
      </c>
    </row>
    <row r="55">
      <c r="A55" s="9" t="str">
        <f>HYPERLINK("https://docs.google.com/spreadsheets/d/1w0I5RoQ7uENhUG1ncC5V9B3b6BQapplx180-f9F9s4w/edit?usp=sharing","Roger Sexton")</f>
        <v>Roger Sexton</v>
      </c>
      <c r="B55" s="10">
        <v>6.0</v>
      </c>
      <c r="C55" s="10">
        <v>14.0</v>
      </c>
      <c r="D55" s="10">
        <v>7.0</v>
      </c>
      <c r="E55" s="11">
        <v>2.0</v>
      </c>
      <c r="F55" s="12">
        <v>0.0288</v>
      </c>
      <c r="G55" s="10">
        <v>21.0</v>
      </c>
      <c r="H55" s="10">
        <v>1.0</v>
      </c>
      <c r="I55" s="10" t="s">
        <v>9</v>
      </c>
      <c r="J55" s="10" t="s">
        <v>60</v>
      </c>
      <c r="K55" s="10" t="s">
        <v>61</v>
      </c>
      <c r="L55" s="13">
        <v>3.0</v>
      </c>
      <c r="M55" s="13">
        <v>3.0</v>
      </c>
      <c r="N55" s="13" t="s">
        <v>23</v>
      </c>
      <c r="O55" s="13">
        <v>4.0</v>
      </c>
      <c r="P55" s="10" t="s">
        <v>23</v>
      </c>
      <c r="Q55" s="10" t="s">
        <v>23</v>
      </c>
      <c r="R55" s="10"/>
      <c r="S55" s="10" t="s">
        <v>23</v>
      </c>
      <c r="T55" s="10"/>
      <c r="U55" s="10" t="s">
        <v>23</v>
      </c>
    </row>
    <row r="56">
      <c r="A56" s="15" t="str">
        <f>HYPERLINK("https://docs.google.com/spreadsheets/d/1VEbyebFdBtPJKQC_U2uGrW6_v1fn6Hsoz3YYLyCxHR0/edit?usp=sharing","Nick Stanbury")</f>
        <v>Nick Stanbury</v>
      </c>
      <c r="B56" s="13">
        <v>12.0</v>
      </c>
      <c r="C56" s="13">
        <v>14.0</v>
      </c>
      <c r="D56" s="13">
        <v>7.0</v>
      </c>
      <c r="E56" s="16">
        <v>2.0</v>
      </c>
      <c r="F56" s="17">
        <v>0.0521</v>
      </c>
      <c r="G56" s="13">
        <v>18.0</v>
      </c>
      <c r="H56" s="13" t="s">
        <v>23</v>
      </c>
      <c r="I56" s="13" t="s">
        <v>9</v>
      </c>
      <c r="J56" s="13" t="s">
        <v>60</v>
      </c>
      <c r="K56" s="13" t="s">
        <v>61</v>
      </c>
      <c r="L56" s="13">
        <v>4.0</v>
      </c>
      <c r="M56" s="13">
        <v>3.0</v>
      </c>
      <c r="N56" s="13" t="s">
        <v>23</v>
      </c>
      <c r="O56" s="13">
        <v>4.0</v>
      </c>
      <c r="P56" s="13" t="s">
        <v>23</v>
      </c>
      <c r="Q56" s="13" t="s">
        <v>23</v>
      </c>
      <c r="R56" s="13"/>
      <c r="S56" s="13" t="s">
        <v>23</v>
      </c>
      <c r="T56" s="13" t="s">
        <v>23</v>
      </c>
      <c r="U56" s="13" t="s">
        <v>23</v>
      </c>
    </row>
    <row r="57">
      <c r="A57" s="9" t="str">
        <f>HYPERLINK("https://docs.google.com/spreadsheets/d/1iNFGyKFcJm-tPp7Dg94yi7mHCDbJssmAD_PiaDM_tAE/edit?usp=sharing","Julie McGee")</f>
        <v>Julie McGee</v>
      </c>
      <c r="B57" s="10">
        <v>29.0</v>
      </c>
      <c r="C57" s="10">
        <v>14.0</v>
      </c>
      <c r="D57" s="10">
        <v>7.0</v>
      </c>
      <c r="E57" s="11">
        <v>2.0</v>
      </c>
      <c r="F57" s="12">
        <v>0.0315</v>
      </c>
      <c r="G57" s="10">
        <v>18.0</v>
      </c>
      <c r="H57" s="10">
        <v>1.0</v>
      </c>
      <c r="I57" s="10" t="s">
        <v>9</v>
      </c>
      <c r="J57" s="10" t="s">
        <v>60</v>
      </c>
      <c r="K57" s="10" t="s">
        <v>105</v>
      </c>
      <c r="L57" s="23">
        <v>5.0</v>
      </c>
      <c r="M57" s="23">
        <v>5.0</v>
      </c>
      <c r="N57" s="23" t="s">
        <v>23</v>
      </c>
      <c r="O57" s="23">
        <v>1.0</v>
      </c>
      <c r="P57" s="23" t="s">
        <v>23</v>
      </c>
      <c r="Q57" s="23" t="s">
        <v>23</v>
      </c>
      <c r="R57" s="23"/>
      <c r="S57" s="13" t="s">
        <v>23</v>
      </c>
      <c r="T57" s="13"/>
      <c r="U57" s="10" t="s">
        <v>64</v>
      </c>
    </row>
    <row r="58">
      <c r="A58" s="30" t="str">
        <f>HYPERLINK("https://docs.google.com/spreadsheets/d/1yi_HtvN4TS5uRWCCFJg5RFaoouiIIe8CAtY_XnqP6iM/edit?usp=sharing","John Kenney")</f>
        <v>John Kenney</v>
      </c>
      <c r="B58" s="31">
        <v>9.0</v>
      </c>
      <c r="C58" s="31">
        <v>14.0</v>
      </c>
      <c r="D58" s="31">
        <v>7.0</v>
      </c>
      <c r="E58" s="32">
        <v>2.0</v>
      </c>
      <c r="F58" s="33">
        <v>0.0334</v>
      </c>
      <c r="G58" s="31">
        <v>18.0</v>
      </c>
      <c r="H58" s="31">
        <v>2.0</v>
      </c>
      <c r="I58" s="31" t="s">
        <v>42</v>
      </c>
      <c r="J58" s="31" t="s">
        <v>60</v>
      </c>
      <c r="K58" s="31" t="s">
        <v>85</v>
      </c>
      <c r="L58" s="31">
        <v>3.0</v>
      </c>
      <c r="M58" s="31">
        <v>3.0</v>
      </c>
      <c r="N58" s="31">
        <v>1.0</v>
      </c>
      <c r="O58" s="31">
        <v>4.0</v>
      </c>
      <c r="P58" s="34" t="s">
        <v>23</v>
      </c>
      <c r="Q58" s="34" t="s">
        <v>23</v>
      </c>
      <c r="R58" s="34"/>
      <c r="S58" s="34" t="s">
        <v>23</v>
      </c>
      <c r="T58" s="34"/>
      <c r="U58" s="34" t="s">
        <v>23</v>
      </c>
    </row>
    <row r="59">
      <c r="A59" s="9" t="str">
        <f>HYPERLINK("https://docs.google.com/spreadsheets/d/1nYlVL4RxK2ZUH-a4MfKCalHyEjDRWz2ZumhyoaYsjTE/edit?usp=sharing","Jill Behm")</f>
        <v>Jill Behm</v>
      </c>
      <c r="B59" s="10">
        <v>21.0</v>
      </c>
      <c r="C59" s="10">
        <v>14.0</v>
      </c>
      <c r="D59" s="10">
        <v>7.0</v>
      </c>
      <c r="E59" s="11">
        <v>2.0</v>
      </c>
      <c r="F59" s="12">
        <v>0.0337</v>
      </c>
      <c r="G59" s="10">
        <v>18.0</v>
      </c>
      <c r="H59" s="10">
        <v>2.0</v>
      </c>
      <c r="I59" s="10" t="s">
        <v>42</v>
      </c>
      <c r="J59" s="10" t="s">
        <v>60</v>
      </c>
      <c r="K59" s="10" t="s">
        <v>100</v>
      </c>
      <c r="L59" s="13">
        <v>2.0</v>
      </c>
      <c r="M59" s="13">
        <v>2.0</v>
      </c>
      <c r="N59" s="13">
        <v>1.0</v>
      </c>
      <c r="O59" s="13">
        <v>5.0</v>
      </c>
      <c r="P59" s="10" t="s">
        <v>23</v>
      </c>
      <c r="Q59" s="10" t="s">
        <v>23</v>
      </c>
      <c r="R59" s="10"/>
      <c r="S59" s="10" t="s">
        <v>23</v>
      </c>
      <c r="T59" s="10"/>
      <c r="U59" s="10" t="s">
        <v>23</v>
      </c>
    </row>
    <row r="60">
      <c r="A60" s="15" t="str">
        <f>HYPERLINK("https://docs.google.com/spreadsheets/d/1d8Hzm_QCJnDef8NF_dVYBZLjLjFI3Fl8Yt14m8Zhn8Y/edit?usp=sharing","Ibrehem Rahman")</f>
        <v>Ibrehem Rahman</v>
      </c>
      <c r="B60" s="13">
        <v>10.0</v>
      </c>
      <c r="C60" s="13">
        <v>14.0</v>
      </c>
      <c r="D60" s="13">
        <v>7.0</v>
      </c>
      <c r="E60" s="16">
        <v>2.0</v>
      </c>
      <c r="F60" s="17">
        <v>0.0328</v>
      </c>
      <c r="G60" s="13">
        <v>18.0</v>
      </c>
      <c r="H60" s="13">
        <v>1.0</v>
      </c>
      <c r="I60" s="13" t="s">
        <v>42</v>
      </c>
      <c r="J60" s="13" t="s">
        <v>60</v>
      </c>
      <c r="K60" s="13" t="s">
        <v>69</v>
      </c>
      <c r="L60" s="13">
        <v>3.0</v>
      </c>
      <c r="M60" s="13" t="s">
        <v>23</v>
      </c>
      <c r="N60" s="13">
        <v>1.0</v>
      </c>
      <c r="O60" s="13">
        <v>7.0</v>
      </c>
      <c r="P60" s="13" t="s">
        <v>23</v>
      </c>
      <c r="Q60" s="13" t="s">
        <v>23</v>
      </c>
      <c r="R60" s="13"/>
      <c r="S60" s="13" t="s">
        <v>23</v>
      </c>
      <c r="T60" s="13" t="s">
        <v>23</v>
      </c>
      <c r="U60" s="13" t="s">
        <v>23</v>
      </c>
    </row>
    <row r="61">
      <c r="A61" s="9" t="str">
        <f>HYPERLINK("https://docs.google.com/spreadsheets/d/1LR80O0PvsOvoTuN5gHQd3Rls4b1rZmJd7EZ_DR2oRHs/edit?usp=sharing","Brandon Hantz")</f>
        <v>Brandon Hantz</v>
      </c>
      <c r="B61" s="10">
        <v>26.0</v>
      </c>
      <c r="C61" s="10">
        <v>14.0</v>
      </c>
      <c r="D61" s="10">
        <v>5.0</v>
      </c>
      <c r="E61" s="11">
        <v>2.8</v>
      </c>
      <c r="F61" s="12">
        <v>0.0339</v>
      </c>
      <c r="G61" s="10">
        <v>13.0</v>
      </c>
      <c r="H61" s="10" t="s">
        <v>23</v>
      </c>
      <c r="I61" s="10" t="s">
        <v>42</v>
      </c>
      <c r="J61" s="10" t="s">
        <v>60</v>
      </c>
      <c r="K61" s="10" t="s">
        <v>112</v>
      </c>
      <c r="L61" s="13">
        <v>5.0</v>
      </c>
      <c r="M61" s="13">
        <v>3.0</v>
      </c>
      <c r="N61" s="13" t="s">
        <v>23</v>
      </c>
      <c r="O61" s="13">
        <v>2.0</v>
      </c>
      <c r="P61" s="10" t="s">
        <v>23</v>
      </c>
      <c r="Q61" s="10" t="s">
        <v>23</v>
      </c>
      <c r="R61" s="10"/>
      <c r="S61" s="10" t="s">
        <v>23</v>
      </c>
      <c r="T61" s="10"/>
      <c r="U61" s="10" t="s">
        <v>23</v>
      </c>
    </row>
    <row r="62">
      <c r="A62" s="15" t="str">
        <f>HYPERLINK("https://docs.google.com/spreadsheets/d/1d8Hzm_QCJnDef8NF_dVYBZLjLjFI3Fl8Yt14m8Zhn8Y/edit?usp=sharing","Angie Jakusz")</f>
        <v>Angie Jakusz</v>
      </c>
      <c r="B62" s="13">
        <v>10.0</v>
      </c>
      <c r="C62" s="13">
        <v>14.0</v>
      </c>
      <c r="D62" s="13">
        <v>5.0</v>
      </c>
      <c r="E62" s="16">
        <v>2.8</v>
      </c>
      <c r="F62" s="17">
        <v>0.0328</v>
      </c>
      <c r="G62" s="13">
        <v>12.0</v>
      </c>
      <c r="H62" s="13" t="s">
        <v>23</v>
      </c>
      <c r="I62" s="13" t="s">
        <v>42</v>
      </c>
      <c r="J62" s="13" t="s">
        <v>60</v>
      </c>
      <c r="K62" s="13" t="s">
        <v>100</v>
      </c>
      <c r="L62" s="13">
        <v>2.0</v>
      </c>
      <c r="M62" s="13" t="s">
        <v>23</v>
      </c>
      <c r="N62" s="13" t="s">
        <v>23</v>
      </c>
      <c r="O62" s="13">
        <v>5.0</v>
      </c>
      <c r="P62" s="13" t="s">
        <v>23</v>
      </c>
      <c r="Q62" s="13" t="s">
        <v>23</v>
      </c>
      <c r="R62" s="13"/>
      <c r="S62" s="13" t="s">
        <v>23</v>
      </c>
      <c r="T62" s="13" t="s">
        <v>23</v>
      </c>
      <c r="U62" s="13" t="s">
        <v>23</v>
      </c>
    </row>
    <row r="63">
      <c r="A63" s="9" t="str">
        <f>HYPERLINK("https://docs.google.com/spreadsheets/d/1tPYt5CqjX32YXnh0BRsechvszEP2n4_ePabpiRTSzqE/edit?usp=sharing","Trish Dunn")</f>
        <v>Trish Dunn</v>
      </c>
      <c r="B63" s="10">
        <v>7.0</v>
      </c>
      <c r="C63" s="10">
        <v>13.0</v>
      </c>
      <c r="D63" s="10">
        <v>6.0</v>
      </c>
      <c r="E63" s="11">
        <v>2.17</v>
      </c>
      <c r="F63" s="12">
        <v>0.0259</v>
      </c>
      <c r="G63" s="10">
        <v>19.0</v>
      </c>
      <c r="H63" s="10">
        <v>1.0</v>
      </c>
      <c r="I63" s="10" t="s">
        <v>42</v>
      </c>
      <c r="J63" s="10" t="s">
        <v>60</v>
      </c>
      <c r="K63" s="10" t="s">
        <v>107</v>
      </c>
      <c r="L63" s="13">
        <v>4.0</v>
      </c>
      <c r="M63" s="13">
        <v>3.0</v>
      </c>
      <c r="N63" s="13" t="s">
        <v>23</v>
      </c>
      <c r="O63" s="13">
        <v>3.0</v>
      </c>
      <c r="P63" s="10" t="s">
        <v>23</v>
      </c>
      <c r="Q63" s="10" t="s">
        <v>23</v>
      </c>
      <c r="R63" s="10"/>
      <c r="S63" s="10" t="s">
        <v>23</v>
      </c>
      <c r="T63" s="10"/>
      <c r="U63" s="10" t="s">
        <v>23</v>
      </c>
    </row>
    <row r="64">
      <c r="A64" s="9" t="str">
        <f>HYPERLINK("https://docs.google.com/spreadsheets/d/1LR80O0PvsOvoTuN5gHQd3Rls4b1rZmJd7EZ_DR2oRHs/edit?usp=sharing","Matt Bischoff")</f>
        <v>Matt Bischoff</v>
      </c>
      <c r="B64" s="10">
        <v>26.0</v>
      </c>
      <c r="C64" s="10">
        <v>13.0</v>
      </c>
      <c r="D64" s="10">
        <v>6.0</v>
      </c>
      <c r="E64" s="11">
        <v>2.17</v>
      </c>
      <c r="F64" s="12">
        <v>0.0315</v>
      </c>
      <c r="G64" s="10">
        <v>16.0</v>
      </c>
      <c r="H64" s="10">
        <v>1.0</v>
      </c>
      <c r="I64" s="10" t="s">
        <v>42</v>
      </c>
      <c r="J64" s="10" t="s">
        <v>60</v>
      </c>
      <c r="K64" s="10" t="s">
        <v>111</v>
      </c>
      <c r="L64" s="13" t="s">
        <v>23</v>
      </c>
      <c r="M64" s="13">
        <v>2.0</v>
      </c>
      <c r="N64" s="13" t="s">
        <v>23</v>
      </c>
      <c r="O64" s="13">
        <v>4.0</v>
      </c>
      <c r="P64" s="10" t="s">
        <v>23</v>
      </c>
      <c r="Q64" s="10" t="s">
        <v>23</v>
      </c>
      <c r="R64" s="10"/>
      <c r="S64" s="10" t="s">
        <v>23</v>
      </c>
      <c r="T64" s="10"/>
      <c r="U64" s="10" t="s">
        <v>23</v>
      </c>
    </row>
    <row r="65">
      <c r="A65" s="9" t="str">
        <f>HYPERLINK("https://docs.google.com/spreadsheets/d/1CcEdjXKuhm6HmXecNbnscxpFab1HRQEjKSDga6QxqAU/edit?usp=sharing","Kristina Kell")</f>
        <v>Kristina Kell</v>
      </c>
      <c r="B65" s="10">
        <v>22.0</v>
      </c>
      <c r="C65" s="10">
        <v>13.0</v>
      </c>
      <c r="D65" s="10">
        <v>5.0</v>
      </c>
      <c r="E65" s="11">
        <v>2.6</v>
      </c>
      <c r="F65" s="12">
        <v>0.0307</v>
      </c>
      <c r="G65" s="10">
        <v>12.0</v>
      </c>
      <c r="H65" s="10">
        <v>2.0</v>
      </c>
      <c r="I65" s="10" t="s">
        <v>42</v>
      </c>
      <c r="J65" s="10" t="s">
        <v>60</v>
      </c>
      <c r="K65" s="10" t="s">
        <v>136</v>
      </c>
      <c r="L65" s="13">
        <v>1.0</v>
      </c>
      <c r="M65" s="13">
        <v>1.0</v>
      </c>
      <c r="N65" s="13" t="s">
        <v>23</v>
      </c>
      <c r="O65" s="13">
        <v>3.0</v>
      </c>
      <c r="P65" s="13" t="s">
        <v>23</v>
      </c>
      <c r="Q65" s="13">
        <v>1.0</v>
      </c>
      <c r="R65" s="13"/>
      <c r="S65" s="10">
        <v>1.0</v>
      </c>
      <c r="T65" s="10"/>
      <c r="U65" s="10" t="s">
        <v>23</v>
      </c>
    </row>
    <row r="66">
      <c r="A66" s="9" t="str">
        <f>HYPERLINK("https://docs.google.com/spreadsheets/d/1nRsx7fR5xbH1eAbI_vBDvqXOgh7mXIwmZNhzrVL6oGM/edit?usp=sharing","Hunter Ellis")</f>
        <v>Hunter Ellis</v>
      </c>
      <c r="B66" s="10">
        <v>4.0</v>
      </c>
      <c r="C66" s="10">
        <v>13.0</v>
      </c>
      <c r="D66" s="10">
        <v>3.0</v>
      </c>
      <c r="E66" s="11">
        <v>4.33</v>
      </c>
      <c r="F66" s="12">
        <v>0.0272</v>
      </c>
      <c r="G66" s="10">
        <v>9.0</v>
      </c>
      <c r="H66" s="10" t="s">
        <v>23</v>
      </c>
      <c r="I66" s="10" t="s">
        <v>42</v>
      </c>
      <c r="J66" s="10" t="s">
        <v>60</v>
      </c>
      <c r="K66" s="10" t="s">
        <v>137</v>
      </c>
      <c r="L66" s="13" t="s">
        <v>23</v>
      </c>
      <c r="M66" s="13" t="s">
        <v>23</v>
      </c>
      <c r="N66" s="13" t="s">
        <v>23</v>
      </c>
      <c r="O66" s="13">
        <v>3.0</v>
      </c>
      <c r="P66" s="10" t="s">
        <v>23</v>
      </c>
      <c r="Q66" s="10" t="s">
        <v>23</v>
      </c>
      <c r="R66" s="10"/>
      <c r="S66" s="10" t="s">
        <v>23</v>
      </c>
      <c r="T66" s="10"/>
      <c r="U66" s="10" t="s">
        <v>23</v>
      </c>
    </row>
    <row r="67">
      <c r="A67" s="9" t="str">
        <f>HYPERLINK("https://docs.google.com/spreadsheets/d/1iNFGyKFcJm-tPp7Dg94yi7mHCDbJssmAD_PiaDM_tAE/edit?usp=sharing","Drew Christy")</f>
        <v>Drew Christy</v>
      </c>
      <c r="B67" s="10">
        <v>29.0</v>
      </c>
      <c r="C67" s="10">
        <v>13.0</v>
      </c>
      <c r="D67" s="10">
        <v>4.0</v>
      </c>
      <c r="E67" s="11">
        <v>3.25</v>
      </c>
      <c r="F67" s="12">
        <v>0.0292</v>
      </c>
      <c r="G67" s="10">
        <v>10.0</v>
      </c>
      <c r="H67" s="10">
        <v>1.0</v>
      </c>
      <c r="I67" s="10" t="s">
        <v>42</v>
      </c>
      <c r="J67" s="10" t="s">
        <v>60</v>
      </c>
      <c r="K67" s="10" t="s">
        <v>113</v>
      </c>
      <c r="L67" s="23">
        <v>2.0</v>
      </c>
      <c r="M67" s="23">
        <v>3.0</v>
      </c>
      <c r="N67" s="23" t="s">
        <v>23</v>
      </c>
      <c r="O67" s="23">
        <v>1.0</v>
      </c>
      <c r="P67" s="23">
        <v>1.0</v>
      </c>
      <c r="Q67" s="23" t="s">
        <v>23</v>
      </c>
      <c r="R67" s="23"/>
      <c r="S67" s="13" t="s">
        <v>23</v>
      </c>
      <c r="T67" s="13"/>
      <c r="U67" s="10" t="s">
        <v>23</v>
      </c>
    </row>
    <row r="68">
      <c r="A68" s="9" t="str">
        <f>HYPERLINK("https://docs.google.com/spreadsheets/d/1iNFGyKFcJm-tPp7Dg94yi7mHCDbJssmAD_PiaDM_tAE/edit?usp=sharing","Dale Wentworth")</f>
        <v>Dale Wentworth</v>
      </c>
      <c r="B68" s="10">
        <v>29.0</v>
      </c>
      <c r="C68" s="10">
        <v>13.0</v>
      </c>
      <c r="D68" s="10">
        <v>6.0</v>
      </c>
      <c r="E68" s="11">
        <v>2.17</v>
      </c>
      <c r="F68" s="12">
        <v>0.0292</v>
      </c>
      <c r="G68" s="10">
        <v>15.0</v>
      </c>
      <c r="H68" s="10">
        <v>1.0</v>
      </c>
      <c r="I68" s="10" t="s">
        <v>42</v>
      </c>
      <c r="J68" s="10" t="s">
        <v>60</v>
      </c>
      <c r="K68" s="10" t="s">
        <v>91</v>
      </c>
      <c r="L68" s="23">
        <v>1.0</v>
      </c>
      <c r="M68" s="23">
        <v>1.0</v>
      </c>
      <c r="N68" s="23" t="s">
        <v>23</v>
      </c>
      <c r="O68" s="23">
        <v>5.0</v>
      </c>
      <c r="P68" s="23" t="s">
        <v>23</v>
      </c>
      <c r="Q68" s="23" t="s">
        <v>23</v>
      </c>
      <c r="R68" s="23"/>
      <c r="S68" s="13" t="s">
        <v>23</v>
      </c>
      <c r="T68" s="13"/>
      <c r="U68" s="10" t="s">
        <v>23</v>
      </c>
    </row>
    <row r="69">
      <c r="A69" s="9" t="str">
        <f>HYPERLINK("https://docs.google.com/spreadsheets/d/1OvIOVR4AMBMcafVt9o6KEur-eEFhew1kw_KUv3DV3Xs/edit?usp=sharing","Christine Shields")</f>
        <v>Christine Shields</v>
      </c>
      <c r="B69" s="10">
        <v>23.0</v>
      </c>
      <c r="C69" s="10">
        <v>13.0</v>
      </c>
      <c r="D69" s="10">
        <v>8.0</v>
      </c>
      <c r="E69" s="11">
        <v>1.63</v>
      </c>
      <c r="F69" s="12">
        <v>0.0324</v>
      </c>
      <c r="G69" s="10">
        <v>19.0</v>
      </c>
      <c r="H69" s="10">
        <v>4.0</v>
      </c>
      <c r="I69" s="10" t="s">
        <v>42</v>
      </c>
      <c r="J69" s="10" t="s">
        <v>60</v>
      </c>
      <c r="K69" s="10" t="s">
        <v>91</v>
      </c>
      <c r="L69" s="13" t="s">
        <v>23</v>
      </c>
      <c r="M69" s="13">
        <v>1.0</v>
      </c>
      <c r="N69" s="13" t="s">
        <v>23</v>
      </c>
      <c r="O69" s="13">
        <v>1.0</v>
      </c>
      <c r="P69" s="13" t="s">
        <v>23</v>
      </c>
      <c r="Q69" s="13">
        <v>1.0</v>
      </c>
      <c r="R69" s="13"/>
      <c r="S69" s="10" t="s">
        <v>23</v>
      </c>
      <c r="T69" s="10"/>
      <c r="U69" s="10" t="s">
        <v>23</v>
      </c>
    </row>
    <row r="70">
      <c r="A70" s="9" t="str">
        <f>HYPERLINK("https://docs.google.com/spreadsheets/d/1HA0vQC0CSnQtVc8u58vwNd3sIFCc79SKVqM1abMG1hI/edit?usp=sharing","Vince Sly")</f>
        <v>Vince Sly</v>
      </c>
      <c r="B70" s="10">
        <v>30.0</v>
      </c>
      <c r="C70" s="10">
        <v>12.0</v>
      </c>
      <c r="D70" s="10">
        <v>2.0</v>
      </c>
      <c r="E70" s="11">
        <v>6.0</v>
      </c>
      <c r="F70" s="12">
        <v>0.0263</v>
      </c>
      <c r="G70" s="10">
        <v>6.0</v>
      </c>
      <c r="H70" s="10" t="s">
        <v>23</v>
      </c>
      <c r="I70" s="10" t="s">
        <v>42</v>
      </c>
      <c r="J70" s="10" t="s">
        <v>60</v>
      </c>
      <c r="K70" s="10" t="s">
        <v>128</v>
      </c>
      <c r="L70" s="13">
        <v>1.0</v>
      </c>
      <c r="M70" s="13">
        <v>1.0</v>
      </c>
      <c r="N70" s="13" t="s">
        <v>23</v>
      </c>
      <c r="O70" s="13">
        <v>1.0</v>
      </c>
      <c r="P70" s="10" t="s">
        <v>23</v>
      </c>
      <c r="Q70" s="10" t="s">
        <v>23</v>
      </c>
      <c r="R70" s="10"/>
      <c r="S70" s="10" t="s">
        <v>23</v>
      </c>
      <c r="T70" s="10"/>
      <c r="U70" s="10" t="s">
        <v>23</v>
      </c>
    </row>
    <row r="71">
      <c r="A71" s="30" t="str">
        <f>HYPERLINK("https://docs.google.com/spreadsheets/d/1yi_HtvN4TS5uRWCCFJg5RFaoouiIIe8CAtY_XnqP6iM/edit?usp=sharing","Travis Sampson")</f>
        <v>Travis Sampson</v>
      </c>
      <c r="B71" s="31">
        <v>9.0</v>
      </c>
      <c r="C71" s="31">
        <v>12.0</v>
      </c>
      <c r="D71" s="31">
        <v>5.0</v>
      </c>
      <c r="E71" s="32">
        <v>2.4</v>
      </c>
      <c r="F71" s="33">
        <v>0.0286</v>
      </c>
      <c r="G71" s="31">
        <v>12.0</v>
      </c>
      <c r="H71" s="31">
        <v>1.0</v>
      </c>
      <c r="I71" s="31" t="s">
        <v>42</v>
      </c>
      <c r="J71" s="31" t="s">
        <v>60</v>
      </c>
      <c r="K71" s="31" t="s">
        <v>91</v>
      </c>
      <c r="L71" s="31">
        <v>1.0</v>
      </c>
      <c r="M71" s="31">
        <v>1.0</v>
      </c>
      <c r="N71" s="31" t="s">
        <v>23</v>
      </c>
      <c r="O71" s="31">
        <v>4.0</v>
      </c>
      <c r="P71" s="34" t="s">
        <v>23</v>
      </c>
      <c r="Q71" s="34" t="s">
        <v>23</v>
      </c>
      <c r="R71" s="34"/>
      <c r="S71" s="34" t="s">
        <v>23</v>
      </c>
      <c r="T71" s="34"/>
      <c r="U71" s="34" t="s">
        <v>23</v>
      </c>
    </row>
    <row r="72">
      <c r="A72" s="15" t="str">
        <f>HYPERLINK("https://docs.google.com/spreadsheets/d/1tElnwN2HVf964gGw8Ei53RyfjarS40wkDY3zivAPWp0/edit?usp=sharing","Tony Vlachos")</f>
        <v>Tony Vlachos</v>
      </c>
      <c r="B72" s="13">
        <v>34.0</v>
      </c>
      <c r="C72" s="13">
        <v>12.0</v>
      </c>
      <c r="D72" s="13">
        <v>2.0</v>
      </c>
      <c r="E72" s="16">
        <v>6.0</v>
      </c>
      <c r="F72" s="17">
        <v>0.0291</v>
      </c>
      <c r="G72" s="13">
        <v>6.0</v>
      </c>
      <c r="H72" s="13" t="s">
        <v>23</v>
      </c>
      <c r="I72" s="13" t="s">
        <v>42</v>
      </c>
      <c r="J72" s="13" t="s">
        <v>60</v>
      </c>
      <c r="K72" s="13" t="s">
        <v>131</v>
      </c>
      <c r="L72" s="13" t="s">
        <v>23</v>
      </c>
      <c r="M72" s="13" t="s">
        <v>23</v>
      </c>
      <c r="N72" s="13" t="s">
        <v>23</v>
      </c>
      <c r="O72" s="13">
        <v>2.0</v>
      </c>
      <c r="P72" s="13" t="s">
        <v>23</v>
      </c>
      <c r="Q72" s="13" t="s">
        <v>23</v>
      </c>
      <c r="R72" s="13"/>
      <c r="S72" s="13" t="s">
        <v>23</v>
      </c>
      <c r="T72" s="13" t="s">
        <v>23</v>
      </c>
      <c r="U72" s="13" t="s">
        <v>23</v>
      </c>
    </row>
    <row r="73">
      <c r="A73" s="9" t="str">
        <f>HYPERLINK("https://docs.google.com/spreadsheets/d/1LR80O0PvsOvoTuN5gHQd3Rls4b1rZmJd7EZ_DR2oRHs/edit?usp=sharing","Shamar Thomas")</f>
        <v>Shamar Thomas</v>
      </c>
      <c r="B73" s="10">
        <v>26.0</v>
      </c>
      <c r="C73" s="10">
        <v>12.0</v>
      </c>
      <c r="D73" s="10">
        <v>4.0</v>
      </c>
      <c r="E73" s="11">
        <v>3.0</v>
      </c>
      <c r="F73" s="12">
        <v>0.0291</v>
      </c>
      <c r="G73" s="10">
        <v>10.0</v>
      </c>
      <c r="H73" s="10" t="s">
        <v>23</v>
      </c>
      <c r="I73" s="10" t="s">
        <v>42</v>
      </c>
      <c r="J73" s="10" t="s">
        <v>60</v>
      </c>
      <c r="K73" s="10" t="s">
        <v>96</v>
      </c>
      <c r="L73" s="13" t="s">
        <v>23</v>
      </c>
      <c r="M73" s="13">
        <v>1.0</v>
      </c>
      <c r="N73" s="13" t="s">
        <v>23</v>
      </c>
      <c r="O73" s="13">
        <v>2.0</v>
      </c>
      <c r="P73" s="10" t="s">
        <v>23</v>
      </c>
      <c r="Q73" s="10" t="s">
        <v>23</v>
      </c>
      <c r="R73" s="10"/>
      <c r="S73" s="10" t="s">
        <v>23</v>
      </c>
      <c r="T73" s="10"/>
      <c r="U73" s="10" t="s">
        <v>92</v>
      </c>
    </row>
    <row r="74">
      <c r="A74" s="9" t="str">
        <f>HYPERLINK("https://docs.google.com/spreadsheets/d/1tPYt5CqjX32YXnh0BRsechvszEP2n4_ePabpiRTSzqE/edit?usp=sharing","Ryan Shoulders")</f>
        <v>Ryan Shoulders</v>
      </c>
      <c r="B74" s="10">
        <v>7.0</v>
      </c>
      <c r="C74" s="10">
        <v>12.0</v>
      </c>
      <c r="D74" s="10">
        <v>2.0</v>
      </c>
      <c r="E74" s="11">
        <v>6.0</v>
      </c>
      <c r="F74" s="12">
        <v>0.024</v>
      </c>
      <c r="G74" s="10">
        <v>7.0</v>
      </c>
      <c r="H74" s="10" t="s">
        <v>23</v>
      </c>
      <c r="I74" s="10" t="s">
        <v>42</v>
      </c>
      <c r="J74" s="10" t="s">
        <v>60</v>
      </c>
      <c r="K74" s="10" t="s">
        <v>139</v>
      </c>
      <c r="L74" s="13" t="s">
        <v>23</v>
      </c>
      <c r="M74" s="13" t="s">
        <v>23</v>
      </c>
      <c r="N74" s="13" t="s">
        <v>23</v>
      </c>
      <c r="O74" s="13">
        <v>2.0</v>
      </c>
      <c r="P74" s="10" t="s">
        <v>23</v>
      </c>
      <c r="Q74" s="10" t="s">
        <v>23</v>
      </c>
      <c r="R74" s="10"/>
      <c r="S74" s="10" t="s">
        <v>23</v>
      </c>
      <c r="T74" s="10"/>
      <c r="U74" s="10" t="s">
        <v>23</v>
      </c>
    </row>
    <row r="75">
      <c r="A75" s="9" t="str">
        <f>HYPERLINK("https://docs.google.com/spreadsheets/d/1hg_GT4r2smQsgkwEYBqHOukVavnNSyncsyfceWDpOho/edit?usp=sharing","Rob Cesternino")</f>
        <v>Rob Cesternino</v>
      </c>
      <c r="B75" s="10">
        <v>8.0</v>
      </c>
      <c r="C75" s="10">
        <v>12.0</v>
      </c>
      <c r="D75" s="10">
        <v>4.0</v>
      </c>
      <c r="E75" s="11">
        <v>3.0</v>
      </c>
      <c r="F75" s="12">
        <v>0.0237</v>
      </c>
      <c r="G75" s="10">
        <v>12.0</v>
      </c>
      <c r="H75" s="10" t="s">
        <v>23</v>
      </c>
      <c r="I75" s="10" t="s">
        <v>42</v>
      </c>
      <c r="J75" s="10" t="s">
        <v>60</v>
      </c>
      <c r="K75" s="10" t="s">
        <v>113</v>
      </c>
      <c r="L75" s="13">
        <v>3.0</v>
      </c>
      <c r="M75" s="13">
        <v>2.0</v>
      </c>
      <c r="N75" s="13" t="s">
        <v>23</v>
      </c>
      <c r="O75" s="13">
        <v>1.0</v>
      </c>
      <c r="P75" s="10" t="s">
        <v>23</v>
      </c>
      <c r="Q75" s="10" t="s">
        <v>23</v>
      </c>
      <c r="R75" s="10"/>
      <c r="S75" s="10" t="s">
        <v>23</v>
      </c>
      <c r="T75" s="10"/>
      <c r="U75" s="10" t="s">
        <v>23</v>
      </c>
    </row>
    <row r="76">
      <c r="A76" s="9" t="str">
        <f>HYPERLINK("https://docs.google.com/spreadsheets/d/18wmIvmUS3SeZNSPQeUzr6sPl9GBYpVSlOaFR_kJCmKo/edit?usp=sharing","Maralyn Hershey")</f>
        <v>Maralyn Hershey</v>
      </c>
      <c r="B76" s="10">
        <v>2.0</v>
      </c>
      <c r="C76" s="10">
        <v>12.0</v>
      </c>
      <c r="D76" s="10">
        <v>3.0</v>
      </c>
      <c r="E76" s="11">
        <v>4.0</v>
      </c>
      <c r="F76" s="12">
        <v>0.0214</v>
      </c>
      <c r="G76" s="10">
        <v>9.0</v>
      </c>
      <c r="H76" s="10" t="s">
        <v>23</v>
      </c>
      <c r="I76" s="10" t="s">
        <v>42</v>
      </c>
      <c r="J76" s="10" t="s">
        <v>60</v>
      </c>
      <c r="K76" s="10" t="s">
        <v>137</v>
      </c>
      <c r="L76" s="13">
        <v>3.0</v>
      </c>
      <c r="M76" s="13">
        <v>1.0</v>
      </c>
      <c r="N76" s="13" t="s">
        <v>23</v>
      </c>
      <c r="O76" s="13">
        <v>2.0</v>
      </c>
      <c r="P76" s="10" t="s">
        <v>23</v>
      </c>
      <c r="Q76" s="10" t="s">
        <v>23</v>
      </c>
      <c r="R76" s="10"/>
      <c r="S76" s="10" t="s">
        <v>23</v>
      </c>
      <c r="T76" s="10"/>
      <c r="U76" s="10" t="s">
        <v>23</v>
      </c>
    </row>
    <row r="77">
      <c r="A77" s="9" t="str">
        <f>HYPERLINK("https://docs.google.com/spreadsheets/d/1LR80O0PvsOvoTuN5gHQd3Rls4b1rZmJd7EZ_DR2oRHs/edit?usp=sharing","Laura Alexander")</f>
        <v>Laura Alexander</v>
      </c>
      <c r="B77" s="10">
        <v>26.0</v>
      </c>
      <c r="C77" s="10">
        <v>12.0</v>
      </c>
      <c r="D77" s="10">
        <v>4.0</v>
      </c>
      <c r="E77" s="11">
        <v>3.0</v>
      </c>
      <c r="F77" s="12">
        <v>0.0291</v>
      </c>
      <c r="G77" s="10">
        <v>10.0</v>
      </c>
      <c r="H77" s="10" t="s">
        <v>23</v>
      </c>
      <c r="I77" s="10" t="s">
        <v>42</v>
      </c>
      <c r="J77" s="10" t="s">
        <v>60</v>
      </c>
      <c r="K77" s="10" t="s">
        <v>103</v>
      </c>
      <c r="L77" s="13" t="s">
        <v>23</v>
      </c>
      <c r="M77" s="13">
        <v>1.0</v>
      </c>
      <c r="N77" s="13" t="s">
        <v>23</v>
      </c>
      <c r="O77" s="13">
        <v>3.0</v>
      </c>
      <c r="P77" s="10" t="s">
        <v>23</v>
      </c>
      <c r="Q77" s="10" t="s">
        <v>23</v>
      </c>
      <c r="R77" s="10"/>
      <c r="S77" s="10" t="s">
        <v>23</v>
      </c>
      <c r="T77" s="10"/>
      <c r="U77" s="10" t="s">
        <v>23</v>
      </c>
    </row>
    <row r="78">
      <c r="A78" s="9" t="str">
        <f>HYPERLINK("https://docs.google.com/spreadsheets/d/1HA0vQC0CSnQtVc8u58vwNd3sIFCc79SKVqM1abMG1hI/edit?usp=sharing","Kelly Remington")</f>
        <v>Kelly Remington</v>
      </c>
      <c r="B78" s="10">
        <v>30.0</v>
      </c>
      <c r="C78" s="10">
        <v>12.0</v>
      </c>
      <c r="D78" s="10">
        <v>7.0</v>
      </c>
      <c r="E78" s="11">
        <v>1.71</v>
      </c>
      <c r="F78" s="12">
        <v>0.0263</v>
      </c>
      <c r="G78" s="10">
        <v>19.0</v>
      </c>
      <c r="H78" s="10">
        <v>1.0</v>
      </c>
      <c r="I78" s="10" t="s">
        <v>9</v>
      </c>
      <c r="J78" s="10" t="s">
        <v>60</v>
      </c>
      <c r="K78" s="10" t="s">
        <v>105</v>
      </c>
      <c r="L78" s="13">
        <v>5.0</v>
      </c>
      <c r="M78" s="13">
        <v>4.0</v>
      </c>
      <c r="N78" s="13" t="s">
        <v>23</v>
      </c>
      <c r="O78" s="13">
        <v>3.0</v>
      </c>
      <c r="P78" s="10" t="s">
        <v>23</v>
      </c>
      <c r="Q78" s="10" t="s">
        <v>23</v>
      </c>
      <c r="R78" s="10"/>
      <c r="S78" s="10" t="s">
        <v>23</v>
      </c>
      <c r="T78" s="10"/>
      <c r="U78" s="10" t="s">
        <v>23</v>
      </c>
    </row>
    <row r="79">
      <c r="A79" s="9" t="str">
        <f>HYPERLINK("https://docs.google.com/spreadsheets/d/1nYlVL4RxK2ZUH-a4MfKCalHyEjDRWz2ZumhyoaYsjTE/edit?usp=sharing","Jimmy Johnson")</f>
        <v>Jimmy Johnson</v>
      </c>
      <c r="B79" s="10">
        <v>21.0</v>
      </c>
      <c r="C79" s="10">
        <v>12.0</v>
      </c>
      <c r="D79" s="10">
        <v>3.0</v>
      </c>
      <c r="E79" s="11">
        <v>4.0</v>
      </c>
      <c r="F79" s="12">
        <v>0.0288</v>
      </c>
      <c r="G79" s="10">
        <v>8.0</v>
      </c>
      <c r="H79" s="10" t="s">
        <v>23</v>
      </c>
      <c r="I79" s="10" t="s">
        <v>42</v>
      </c>
      <c r="J79" s="10" t="s">
        <v>60</v>
      </c>
      <c r="K79" s="10" t="s">
        <v>124</v>
      </c>
      <c r="L79" s="13">
        <v>1.0</v>
      </c>
      <c r="M79" s="13">
        <v>1.0</v>
      </c>
      <c r="N79" s="13" t="s">
        <v>23</v>
      </c>
      <c r="O79" s="13">
        <v>2.0</v>
      </c>
      <c r="P79" s="10" t="s">
        <v>23</v>
      </c>
      <c r="Q79" s="10" t="s">
        <v>23</v>
      </c>
      <c r="R79" s="10"/>
      <c r="S79" s="10" t="s">
        <v>23</v>
      </c>
      <c r="T79" s="10"/>
      <c r="U79" s="10" t="s">
        <v>23</v>
      </c>
    </row>
    <row r="80">
      <c r="A80" s="15" t="str">
        <f>HYPERLINK("https://docs.google.com/spreadsheets/d/1ZajpFwOHrMmupCcACeLhLTzPOwhTrjKRR1FJtUgeLww/edit?usp=sharing","Jessica ""Figgy"" Figueroa")</f>
        <v>Jessica "Figgy" Figueroa</v>
      </c>
      <c r="B80" s="13">
        <v>33.0</v>
      </c>
      <c r="C80" s="13">
        <v>12.0</v>
      </c>
      <c r="D80" s="13">
        <v>6.0</v>
      </c>
      <c r="E80" s="16">
        <v>2.0</v>
      </c>
      <c r="F80" s="17">
        <v>0.0276</v>
      </c>
      <c r="G80" s="13">
        <v>18.0</v>
      </c>
      <c r="H80" s="13">
        <v>1.0</v>
      </c>
      <c r="I80" s="13" t="s">
        <v>42</v>
      </c>
      <c r="J80" s="13" t="s">
        <v>60</v>
      </c>
      <c r="K80" s="13" t="s">
        <v>112</v>
      </c>
      <c r="L80" s="13">
        <v>2.0</v>
      </c>
      <c r="M80" s="13">
        <v>4.0</v>
      </c>
      <c r="N80" s="13" t="s">
        <v>23</v>
      </c>
      <c r="O80" s="13">
        <v>2.0</v>
      </c>
      <c r="P80" s="13" t="s">
        <v>23</v>
      </c>
      <c r="Q80" s="13" t="s">
        <v>23</v>
      </c>
      <c r="R80" s="13"/>
      <c r="S80" s="13" t="s">
        <v>23</v>
      </c>
      <c r="T80" s="13" t="s">
        <v>23</v>
      </c>
      <c r="U80" s="13" t="s">
        <v>23</v>
      </c>
    </row>
    <row r="81">
      <c r="A81" s="9" t="str">
        <f>HYPERLINK("https://docs.google.com/spreadsheets/d/1nRsx7fR5xbH1eAbI_vBDvqXOgh7mXIwmZNhzrVL6oGM/edit?usp=sharing","Gabriel Cade")</f>
        <v>Gabriel Cade</v>
      </c>
      <c r="B81" s="10">
        <v>4.0</v>
      </c>
      <c r="C81" s="10">
        <v>12.0</v>
      </c>
      <c r="D81" s="10">
        <v>5.0</v>
      </c>
      <c r="E81" s="11">
        <v>2.4</v>
      </c>
      <c r="F81" s="12">
        <v>0.0251</v>
      </c>
      <c r="G81" s="10">
        <v>15.0</v>
      </c>
      <c r="H81" s="10" t="s">
        <v>23</v>
      </c>
      <c r="I81" s="10" t="s">
        <v>42</v>
      </c>
      <c r="J81" s="10" t="s">
        <v>60</v>
      </c>
      <c r="K81" s="10" t="s">
        <v>106</v>
      </c>
      <c r="L81" s="13">
        <v>2.0</v>
      </c>
      <c r="M81" s="13">
        <v>4.0</v>
      </c>
      <c r="N81" s="13" t="s">
        <v>23</v>
      </c>
      <c r="O81" s="13">
        <v>1.0</v>
      </c>
      <c r="P81" s="10" t="s">
        <v>23</v>
      </c>
      <c r="Q81" s="10" t="s">
        <v>23</v>
      </c>
      <c r="R81" s="10"/>
      <c r="S81" s="10" t="s">
        <v>23</v>
      </c>
      <c r="T81" s="10"/>
      <c r="U81" s="10" t="s">
        <v>23</v>
      </c>
    </row>
    <row r="82">
      <c r="A82" s="9" t="str">
        <f>HYPERLINK("https://docs.google.com/spreadsheets/d/1CcEdjXKuhm6HmXecNbnscxpFab1HRQEjKSDga6QxqAU/edit?usp=sharing","Francesca Hogi")</f>
        <v>Francesca Hogi</v>
      </c>
      <c r="B82" s="10">
        <v>22.0</v>
      </c>
      <c r="C82" s="10">
        <v>12.0</v>
      </c>
      <c r="D82" s="10">
        <v>3.0</v>
      </c>
      <c r="E82" s="11">
        <v>4.0</v>
      </c>
      <c r="F82" s="12">
        <v>0.0283</v>
      </c>
      <c r="G82" s="10">
        <v>6.0</v>
      </c>
      <c r="H82" s="10">
        <v>1.0</v>
      </c>
      <c r="I82" s="10" t="s">
        <v>42</v>
      </c>
      <c r="J82" s="10" t="s">
        <v>60</v>
      </c>
      <c r="K82" s="10" t="s">
        <v>138</v>
      </c>
      <c r="L82" s="13" t="s">
        <v>23</v>
      </c>
      <c r="M82" s="13" t="s">
        <v>23</v>
      </c>
      <c r="N82" s="13" t="s">
        <v>23</v>
      </c>
      <c r="O82" s="13">
        <v>1.0</v>
      </c>
      <c r="P82" s="13" t="s">
        <v>23</v>
      </c>
      <c r="Q82" s="13">
        <v>1.0</v>
      </c>
      <c r="R82" s="13"/>
      <c r="S82" s="10" t="s">
        <v>23</v>
      </c>
      <c r="T82" s="10"/>
      <c r="U82" s="10" t="s">
        <v>23</v>
      </c>
    </row>
    <row r="83">
      <c r="A83" s="40" t="str">
        <f>HYPERLINK("https://docs.google.com/spreadsheets/d/1y7awzkkkaNlh7XKjc44AGriTvqB9H3pVz8cFLyIYdbo/edit?usp=sharing","Alexis Maxwell")</f>
        <v>Alexis Maxwell</v>
      </c>
      <c r="B83" s="34">
        <v>28.0</v>
      </c>
      <c r="C83" s="34">
        <v>12.0</v>
      </c>
      <c r="D83" s="34">
        <v>6.0</v>
      </c>
      <c r="E83" s="41">
        <v>2.0</v>
      </c>
      <c r="F83" s="42">
        <v>0.0261</v>
      </c>
      <c r="G83" s="34">
        <v>16.0</v>
      </c>
      <c r="H83" s="34">
        <v>1.0</v>
      </c>
      <c r="I83" s="34" t="s">
        <v>42</v>
      </c>
      <c r="J83" s="34" t="s">
        <v>60</v>
      </c>
      <c r="K83" s="34" t="s">
        <v>105</v>
      </c>
      <c r="L83" s="31">
        <v>3.0</v>
      </c>
      <c r="M83" s="31">
        <v>4.0</v>
      </c>
      <c r="N83" s="31" t="s">
        <v>23</v>
      </c>
      <c r="O83" s="31">
        <v>2.0</v>
      </c>
      <c r="P83" s="34" t="s">
        <v>23</v>
      </c>
      <c r="Q83" s="34" t="s">
        <v>23</v>
      </c>
      <c r="R83" s="34"/>
      <c r="S83" s="34" t="s">
        <v>23</v>
      </c>
      <c r="T83" s="34"/>
      <c r="U83" s="34" t="s">
        <v>23</v>
      </c>
    </row>
    <row r="84">
      <c r="A84" s="15" t="str">
        <f>HYPERLINK("https://docs.google.com/spreadsheets/d/1Hf_PbZTXAuooCoiF7c3Bz80t5-zCjdWHF8wQ_HyodNs/edit?usp=sharing","Bradley Kleihege")</f>
        <v>Bradley Kleihege</v>
      </c>
      <c r="B84" s="13">
        <v>36.0</v>
      </c>
      <c r="C84" s="13">
        <v>12.0</v>
      </c>
      <c r="D84" s="13">
        <v>7.0</v>
      </c>
      <c r="E84" s="16">
        <v>1.71</v>
      </c>
      <c r="F84" s="17">
        <v>0.0305</v>
      </c>
      <c r="G84" s="13">
        <v>19.0</v>
      </c>
      <c r="H84" s="13">
        <v>3.0</v>
      </c>
      <c r="I84" s="13" t="s">
        <v>42</v>
      </c>
      <c r="J84" s="13" t="s">
        <v>60</v>
      </c>
      <c r="K84" s="13" t="s">
        <v>111</v>
      </c>
      <c r="L84" s="13">
        <v>3.0</v>
      </c>
      <c r="M84" s="13">
        <v>4.0</v>
      </c>
      <c r="N84" s="13" t="s">
        <v>23</v>
      </c>
      <c r="O84" s="13">
        <v>3.0</v>
      </c>
      <c r="P84" s="13" t="s">
        <v>23</v>
      </c>
      <c r="Q84" s="13" t="s">
        <v>23</v>
      </c>
      <c r="R84" s="13"/>
      <c r="S84" s="13" t="s">
        <v>23</v>
      </c>
      <c r="T84" s="13" t="s">
        <v>23</v>
      </c>
      <c r="U84" s="13" t="s">
        <v>23</v>
      </c>
    </row>
    <row r="85">
      <c r="A85" s="15" t="str">
        <f>HYPERLINK("https://docs.google.com/spreadsheets/d/1Hf_PbZTXAuooCoiF7c3Bz80t5-zCjdWHF8wQ_HyodNs/edit?usp=sharing","Stephanie Rae")</f>
        <v>Stephanie Rae</v>
      </c>
      <c r="B85" s="13">
        <v>36.0</v>
      </c>
      <c r="C85" s="13">
        <v>12.0</v>
      </c>
      <c r="D85" s="13">
        <v>5.0</v>
      </c>
      <c r="E85" s="16">
        <v>2.4</v>
      </c>
      <c r="F85" s="17">
        <v>0.0305</v>
      </c>
      <c r="G85" s="13">
        <v>14.0</v>
      </c>
      <c r="H85" s="13" t="s">
        <v>23</v>
      </c>
      <c r="I85" s="13" t="s">
        <v>42</v>
      </c>
      <c r="J85" s="13" t="s">
        <v>60</v>
      </c>
      <c r="K85" s="13" t="s">
        <v>103</v>
      </c>
      <c r="L85" s="13">
        <v>2.0</v>
      </c>
      <c r="M85" s="13">
        <v>1.0</v>
      </c>
      <c r="N85" s="13" t="s">
        <v>23</v>
      </c>
      <c r="O85" s="13">
        <v>4.0</v>
      </c>
      <c r="P85" s="13">
        <v>1.0</v>
      </c>
      <c r="Q85" s="13" t="s">
        <v>23</v>
      </c>
      <c r="R85" s="13"/>
      <c r="S85" s="13" t="s">
        <v>23</v>
      </c>
      <c r="T85" s="13" t="s">
        <v>23</v>
      </c>
      <c r="U85" s="13" t="s">
        <v>23</v>
      </c>
    </row>
    <row r="86">
      <c r="A86" s="9" t="str">
        <f>HYPERLINK("https://docs.google.com/spreadsheets/d/1EsGJrNyA7pLwFUlZ6WfOkbnPz58Cle9N9c6epQSDRVA/edit?usp=sharing","Woo Hwang")</f>
        <v>Woo Hwang</v>
      </c>
      <c r="B86" s="10">
        <v>31.0</v>
      </c>
      <c r="C86" s="10">
        <v>11.0</v>
      </c>
      <c r="D86" s="10">
        <v>6.0</v>
      </c>
      <c r="E86" s="11">
        <v>1.83</v>
      </c>
      <c r="F86" s="12">
        <v>0.0251</v>
      </c>
      <c r="G86" s="10">
        <v>16.0</v>
      </c>
      <c r="H86" s="10">
        <v>1.0</v>
      </c>
      <c r="I86" s="10" t="s">
        <v>42</v>
      </c>
      <c r="J86" s="10" t="s">
        <v>60</v>
      </c>
      <c r="K86" s="10" t="s">
        <v>111</v>
      </c>
      <c r="L86" s="13">
        <v>4.0</v>
      </c>
      <c r="M86" s="13">
        <v>1.0</v>
      </c>
      <c r="N86" s="13" t="s">
        <v>23</v>
      </c>
      <c r="O86" s="13">
        <v>5.0</v>
      </c>
      <c r="P86" s="10" t="s">
        <v>23</v>
      </c>
      <c r="Q86" s="10" t="s">
        <v>23</v>
      </c>
      <c r="R86" s="10"/>
      <c r="S86" s="10" t="s">
        <v>23</v>
      </c>
      <c r="T86" s="10"/>
      <c r="U86" s="10" t="s">
        <v>23</v>
      </c>
    </row>
    <row r="87">
      <c r="A87" s="9" t="str">
        <f>HYPERLINK("https://docs.google.com/spreadsheets/d/1CcEdjXKuhm6HmXecNbnscxpFab1HRQEjKSDga6QxqAU/edit?usp=sharing","Sarita White")</f>
        <v>Sarita White</v>
      </c>
      <c r="B87" s="10">
        <v>22.0</v>
      </c>
      <c r="C87" s="10">
        <v>11.0</v>
      </c>
      <c r="D87" s="10">
        <v>8.0</v>
      </c>
      <c r="E87" s="11">
        <v>1.38</v>
      </c>
      <c r="F87" s="12">
        <v>0.0259</v>
      </c>
      <c r="G87" s="10">
        <v>19.0</v>
      </c>
      <c r="H87" s="10">
        <v>3.0</v>
      </c>
      <c r="I87" s="10" t="s">
        <v>42</v>
      </c>
      <c r="J87" s="10" t="s">
        <v>60</v>
      </c>
      <c r="K87" s="10" t="s">
        <v>91</v>
      </c>
      <c r="L87" s="13">
        <v>3.0</v>
      </c>
      <c r="M87" s="13">
        <v>3.0</v>
      </c>
      <c r="N87" s="13" t="s">
        <v>23</v>
      </c>
      <c r="O87" s="13">
        <v>4.0</v>
      </c>
      <c r="P87" s="13" t="s">
        <v>23</v>
      </c>
      <c r="Q87" s="13">
        <v>1.0</v>
      </c>
      <c r="R87" s="13"/>
      <c r="S87" s="10" t="s">
        <v>23</v>
      </c>
      <c r="T87" s="10"/>
      <c r="U87" s="10" t="s">
        <v>23</v>
      </c>
    </row>
    <row r="88">
      <c r="A88" s="9" t="str">
        <f>HYPERLINK("https://docs.google.com/spreadsheets/d/1ReMaq-fM8zzflOjjrMrgnxEsdZxPIPIJqiZ9cCLO3cE/edit?usp=sharing","Katie Hanson")</f>
        <v>Katie Hanson</v>
      </c>
      <c r="B88" s="10">
        <v>25.0</v>
      </c>
      <c r="C88" s="10">
        <v>11.0</v>
      </c>
      <c r="D88" s="10">
        <v>6.0</v>
      </c>
      <c r="E88" s="11">
        <v>1.83</v>
      </c>
      <c r="F88" s="12">
        <v>0.0253</v>
      </c>
      <c r="G88" s="10">
        <v>16.0</v>
      </c>
      <c r="H88" s="10">
        <v>3.0</v>
      </c>
      <c r="I88" s="10" t="s">
        <v>42</v>
      </c>
      <c r="J88" s="10" t="s">
        <v>60</v>
      </c>
      <c r="K88" s="10" t="s">
        <v>105</v>
      </c>
      <c r="L88" s="13">
        <v>5.0</v>
      </c>
      <c r="M88" s="13">
        <v>4.0</v>
      </c>
      <c r="N88" s="13" t="s">
        <v>23</v>
      </c>
      <c r="O88" s="13">
        <v>2.0</v>
      </c>
      <c r="P88" s="10" t="s">
        <v>23</v>
      </c>
      <c r="Q88" s="10" t="s">
        <v>23</v>
      </c>
      <c r="R88" s="10"/>
      <c r="S88" s="10" t="s">
        <v>23</v>
      </c>
      <c r="T88" s="10"/>
      <c r="U88" s="10" t="s">
        <v>23</v>
      </c>
    </row>
    <row r="89">
      <c r="A89" s="9" t="str">
        <f>HYPERLINK("https://docs.google.com/spreadsheets/d/1X-5lK1sJCBpvE08rC1VdSsGvayqyrC62cK7W45Q4XX8/edit?usp=sharing","Kat Edorsson")</f>
        <v>Kat Edorsson</v>
      </c>
      <c r="B89" s="10">
        <v>27.0</v>
      </c>
      <c r="C89" s="10">
        <v>11.0</v>
      </c>
      <c r="D89" s="10">
        <v>7.0</v>
      </c>
      <c r="E89" s="11">
        <v>1.57</v>
      </c>
      <c r="F89" s="12">
        <v>0.0254</v>
      </c>
      <c r="G89" s="10">
        <v>17.0</v>
      </c>
      <c r="H89" s="10">
        <v>2.0</v>
      </c>
      <c r="I89" s="10" t="s">
        <v>42</v>
      </c>
      <c r="J89" s="10" t="s">
        <v>60</v>
      </c>
      <c r="K89" s="10" t="s">
        <v>111</v>
      </c>
      <c r="L89" s="13">
        <v>4.0</v>
      </c>
      <c r="M89" s="13">
        <v>4.0</v>
      </c>
      <c r="N89" s="13" t="s">
        <v>23</v>
      </c>
      <c r="O89" s="13">
        <v>2.0</v>
      </c>
      <c r="P89" s="13" t="s">
        <v>23</v>
      </c>
      <c r="Q89" s="13">
        <v>1.0</v>
      </c>
      <c r="R89" s="13"/>
      <c r="S89" s="10" t="s">
        <v>23</v>
      </c>
      <c r="T89" s="10"/>
      <c r="U89" s="10" t="s">
        <v>23</v>
      </c>
    </row>
    <row r="90">
      <c r="A90" s="9" t="str">
        <f>HYPERLINK("https://docs.google.com/spreadsheets/d/1iNFGyKFcJm-tPp7Dg94yi7mHCDbJssmAD_PiaDM_tAE/edit?usp=sharing","John Rocker")</f>
        <v>John Rocker</v>
      </c>
      <c r="B90" s="10">
        <v>29.0</v>
      </c>
      <c r="C90" s="10">
        <v>11.0</v>
      </c>
      <c r="D90" s="10">
        <v>3.0</v>
      </c>
      <c r="E90" s="11">
        <v>3.67</v>
      </c>
      <c r="F90" s="12">
        <v>0.0247</v>
      </c>
      <c r="G90" s="10">
        <v>8.0</v>
      </c>
      <c r="H90" s="10" t="s">
        <v>23</v>
      </c>
      <c r="I90" s="10" t="s">
        <v>42</v>
      </c>
      <c r="J90" s="10" t="s">
        <v>60</v>
      </c>
      <c r="K90" s="10" t="s">
        <v>136</v>
      </c>
      <c r="L90" s="23">
        <v>1.0</v>
      </c>
      <c r="M90" s="23" t="s">
        <v>23</v>
      </c>
      <c r="N90" s="23" t="s">
        <v>23</v>
      </c>
      <c r="O90" s="23">
        <v>3.0</v>
      </c>
      <c r="P90" s="23">
        <v>1.0</v>
      </c>
      <c r="Q90" s="23" t="s">
        <v>23</v>
      </c>
      <c r="R90" s="23"/>
      <c r="S90" s="23">
        <v>1.0</v>
      </c>
      <c r="T90" s="23"/>
      <c r="U90" s="10" t="s">
        <v>23</v>
      </c>
    </row>
    <row r="91">
      <c r="A91" s="9" t="str">
        <f>HYPERLINK("https://docs.google.com/spreadsheets/d/1nYlVL4RxK2ZUH-a4MfKCalHyEjDRWz2ZumhyoaYsjTE/edit?usp=sharing","Jimmy Tarantino")</f>
        <v>Jimmy Tarantino</v>
      </c>
      <c r="B91" s="10">
        <v>21.0</v>
      </c>
      <c r="C91" s="10">
        <v>11.0</v>
      </c>
      <c r="D91" s="10">
        <v>4.0</v>
      </c>
      <c r="E91" s="11">
        <v>2.75</v>
      </c>
      <c r="F91" s="12">
        <v>0.0264</v>
      </c>
      <c r="G91" s="10">
        <v>11.0</v>
      </c>
      <c r="H91" s="10" t="s">
        <v>23</v>
      </c>
      <c r="I91" s="10" t="s">
        <v>42</v>
      </c>
      <c r="J91" s="10" t="s">
        <v>60</v>
      </c>
      <c r="K91" s="10" t="s">
        <v>96</v>
      </c>
      <c r="L91" s="13">
        <v>1.0</v>
      </c>
      <c r="M91" s="13">
        <v>1.0</v>
      </c>
      <c r="N91" s="13" t="s">
        <v>23</v>
      </c>
      <c r="O91" s="13">
        <v>3.0</v>
      </c>
      <c r="P91" s="10" t="s">
        <v>23</v>
      </c>
      <c r="Q91" s="10" t="s">
        <v>23</v>
      </c>
      <c r="R91" s="10"/>
      <c r="S91" s="10" t="s">
        <v>23</v>
      </c>
      <c r="T91" s="10"/>
      <c r="U91" s="10" t="s">
        <v>23</v>
      </c>
    </row>
    <row r="92">
      <c r="A92" s="40" t="str">
        <f>HYPERLINK("https://docs.google.com/spreadsheets/d/1y7awzkkkaNlh7XKjc44AGriTvqB9H3pVz8cFLyIYdbo/edit?usp=sharing","Garrett Adelstein")</f>
        <v>Garrett Adelstein</v>
      </c>
      <c r="B92" s="34">
        <v>28.0</v>
      </c>
      <c r="C92" s="34">
        <v>11.0</v>
      </c>
      <c r="D92" s="34">
        <v>2.0</v>
      </c>
      <c r="E92" s="41">
        <v>5.5</v>
      </c>
      <c r="F92" s="42">
        <v>0.024</v>
      </c>
      <c r="G92" s="34">
        <v>6.0</v>
      </c>
      <c r="H92" s="34" t="s">
        <v>23</v>
      </c>
      <c r="I92" s="34" t="s">
        <v>42</v>
      </c>
      <c r="J92" s="34" t="s">
        <v>60</v>
      </c>
      <c r="K92" s="34" t="s">
        <v>128</v>
      </c>
      <c r="L92" s="31" t="s">
        <v>23</v>
      </c>
      <c r="M92" s="31" t="s">
        <v>23</v>
      </c>
      <c r="N92" s="31" t="s">
        <v>23</v>
      </c>
      <c r="O92" s="31">
        <v>2.0</v>
      </c>
      <c r="P92" s="34" t="s">
        <v>23</v>
      </c>
      <c r="Q92" s="34" t="s">
        <v>23</v>
      </c>
      <c r="R92" s="34"/>
      <c r="S92" s="34">
        <v>1.0</v>
      </c>
      <c r="T92" s="34"/>
      <c r="U92" s="34" t="s">
        <v>23</v>
      </c>
    </row>
    <row r="93">
      <c r="A93" s="9" t="str">
        <f>HYPERLINK("https://docs.google.com/spreadsheets/d/14eN4V4imd53x81UQVckjyAx_2xIFGXJ8NE4XmE1oDkg/edit?usp=sharing","Dirk Been")</f>
        <v>Dirk Been</v>
      </c>
      <c r="B93" s="10">
        <v>1.0</v>
      </c>
      <c r="C93" s="10">
        <v>11.0</v>
      </c>
      <c r="D93" s="10">
        <v>5.0</v>
      </c>
      <c r="E93" s="11">
        <v>2.2</v>
      </c>
      <c r="F93" s="14">
        <v>0.0167</v>
      </c>
      <c r="G93" s="10">
        <v>15.0</v>
      </c>
      <c r="H93" s="10">
        <v>1.0</v>
      </c>
      <c r="I93" s="10" t="s">
        <v>42</v>
      </c>
      <c r="J93" s="10" t="s">
        <v>60</v>
      </c>
      <c r="K93" s="10" t="s">
        <v>106</v>
      </c>
      <c r="L93" s="13">
        <v>2.0</v>
      </c>
      <c r="M93" s="13">
        <v>2.0</v>
      </c>
      <c r="N93" s="13" t="s">
        <v>23</v>
      </c>
      <c r="O93" s="13">
        <v>3.0</v>
      </c>
      <c r="P93" s="10" t="s">
        <v>23</v>
      </c>
      <c r="Q93" s="10" t="s">
        <v>23</v>
      </c>
      <c r="R93" s="10"/>
      <c r="S93" s="10" t="s">
        <v>23</v>
      </c>
      <c r="T93" s="10"/>
      <c r="U93" s="10" t="s">
        <v>23</v>
      </c>
    </row>
    <row r="94">
      <c r="A94" s="15" t="str">
        <f>HYPERLINK("https://docs.google.com/spreadsheets/d/1VEbyebFdBtPJKQC_U2uGrW6_v1fn6Hsoz3YYLyCxHR0/edit?usp=sharing","Dan Barry")</f>
        <v>Dan Barry</v>
      </c>
      <c r="B94" s="13">
        <v>12.0</v>
      </c>
      <c r="C94" s="13">
        <v>11.0</v>
      </c>
      <c r="D94" s="13">
        <v>6.0</v>
      </c>
      <c r="E94" s="16">
        <v>1.83</v>
      </c>
      <c r="F94" s="17">
        <v>0.0571</v>
      </c>
      <c r="G94" s="13">
        <v>15.0</v>
      </c>
      <c r="H94" s="13" t="s">
        <v>23</v>
      </c>
      <c r="I94" s="13" t="s">
        <v>42</v>
      </c>
      <c r="J94" s="13" t="s">
        <v>60</v>
      </c>
      <c r="K94" s="13" t="s">
        <v>78</v>
      </c>
      <c r="L94" s="13">
        <v>3.0</v>
      </c>
      <c r="M94" s="13">
        <v>3.0</v>
      </c>
      <c r="N94" s="13" t="s">
        <v>23</v>
      </c>
      <c r="O94" s="13">
        <v>3.0</v>
      </c>
      <c r="P94" s="13" t="s">
        <v>23</v>
      </c>
      <c r="Q94" s="13" t="s">
        <v>23</v>
      </c>
      <c r="R94" s="13"/>
      <c r="S94" s="13" t="s">
        <v>23</v>
      </c>
      <c r="T94" s="13" t="s">
        <v>23</v>
      </c>
      <c r="U94" s="13" t="s">
        <v>23</v>
      </c>
    </row>
    <row r="95">
      <c r="A95" s="9" t="str">
        <f>HYPERLINK("https://docs.google.com/spreadsheets/d/14eN4V4imd53x81UQVckjyAx_2xIFGXJ8NE4XmE1oDkg/edit?usp=sharing","B.B. Anderson")</f>
        <v>B.B. Anderson</v>
      </c>
      <c r="B95" s="10">
        <v>1.0</v>
      </c>
      <c r="C95" s="10">
        <v>11.0</v>
      </c>
      <c r="D95" s="10">
        <v>2.0</v>
      </c>
      <c r="E95" s="11">
        <v>5.5</v>
      </c>
      <c r="F95" s="14">
        <v>0.0167</v>
      </c>
      <c r="G95" s="10">
        <v>6.0</v>
      </c>
      <c r="H95" s="10" t="s">
        <v>23</v>
      </c>
      <c r="I95" s="10" t="s">
        <v>42</v>
      </c>
      <c r="J95" s="10" t="s">
        <v>60</v>
      </c>
      <c r="K95" s="10" t="s">
        <v>139</v>
      </c>
      <c r="L95" s="13">
        <v>2.0</v>
      </c>
      <c r="M95" s="13">
        <v>1.0</v>
      </c>
      <c r="N95" s="13" t="s">
        <v>23</v>
      </c>
      <c r="O95" s="13">
        <v>1.0</v>
      </c>
      <c r="P95" s="10" t="s">
        <v>23</v>
      </c>
      <c r="Q95" s="10" t="s">
        <v>23</v>
      </c>
      <c r="R95" s="10"/>
      <c r="S95" s="10" t="s">
        <v>23</v>
      </c>
      <c r="T95" s="10"/>
      <c r="U95" s="10" t="s">
        <v>23</v>
      </c>
    </row>
    <row r="96">
      <c r="A96" s="19" t="str">
        <f>HYPERLINK("https://docs.google.com/spreadsheets/d/1TniiK35-AGMNddj9lkge_tT9QfOGXMfX2thnTv8npTo/edit?usp=sharing","Stephanie Dill")</f>
        <v>Stephanie Dill</v>
      </c>
      <c r="B96" s="20">
        <v>5.0</v>
      </c>
      <c r="C96" s="20">
        <v>10.0</v>
      </c>
      <c r="D96" s="20">
        <v>5.0</v>
      </c>
      <c r="E96" s="26">
        <v>2.0</v>
      </c>
      <c r="F96" s="14">
        <v>0.0207</v>
      </c>
      <c r="G96" s="21">
        <v>15.0</v>
      </c>
      <c r="H96" s="21">
        <v>1.0</v>
      </c>
      <c r="I96" s="10" t="s">
        <v>42</v>
      </c>
      <c r="J96" s="20" t="s">
        <v>60</v>
      </c>
      <c r="K96" s="20" t="s">
        <v>106</v>
      </c>
      <c r="L96" s="13">
        <v>3.0</v>
      </c>
      <c r="M96" s="13">
        <v>3.0</v>
      </c>
      <c r="N96" s="13" t="s">
        <v>23</v>
      </c>
      <c r="O96" s="13">
        <v>2.0</v>
      </c>
      <c r="P96" s="10" t="s">
        <v>23</v>
      </c>
      <c r="Q96" s="10" t="s">
        <v>23</v>
      </c>
      <c r="R96" s="10"/>
      <c r="S96" s="10" t="s">
        <v>23</v>
      </c>
      <c r="T96" s="10"/>
      <c r="U96" s="10" t="s">
        <v>23</v>
      </c>
    </row>
    <row r="97">
      <c r="A97" s="9" t="str">
        <f>HYPERLINK("https://docs.google.com/spreadsheets/d/1OvIOVR4AMBMcafVt9o6KEur-eEFhew1kw_KUv3DV3Xs/edit?usp=sharing","Mikayla Wingle")</f>
        <v>Mikayla Wingle</v>
      </c>
      <c r="B97" s="10">
        <v>23.0</v>
      </c>
      <c r="C97" s="10">
        <v>10.0</v>
      </c>
      <c r="D97" s="10">
        <v>7.0</v>
      </c>
      <c r="E97" s="11">
        <v>1.43</v>
      </c>
      <c r="F97" s="12">
        <v>0.0249</v>
      </c>
      <c r="G97" s="10">
        <v>16.0</v>
      </c>
      <c r="H97" s="10">
        <v>2.0</v>
      </c>
      <c r="I97" s="10" t="s">
        <v>42</v>
      </c>
      <c r="J97" s="10" t="s">
        <v>60</v>
      </c>
      <c r="K97" s="10" t="s">
        <v>114</v>
      </c>
      <c r="L97" s="13">
        <v>2.0</v>
      </c>
      <c r="M97" s="13">
        <v>3.0</v>
      </c>
      <c r="N97" s="13" t="s">
        <v>23</v>
      </c>
      <c r="O97" s="13">
        <v>3.0</v>
      </c>
      <c r="P97" s="13" t="s">
        <v>23</v>
      </c>
      <c r="Q97" s="13">
        <v>1.0</v>
      </c>
      <c r="R97" s="13"/>
      <c r="S97" s="10" t="s">
        <v>23</v>
      </c>
      <c r="T97" s="10"/>
      <c r="U97" s="10" t="s">
        <v>23</v>
      </c>
    </row>
    <row r="98">
      <c r="A98" s="9" t="str">
        <f>HYPERLINK("https://docs.google.com/spreadsheets/d/1tPYt5CqjX32YXnh0BRsechvszEP2n4_ePabpiRTSzqE/edit?usp=sharing","Michelle Tesauro")</f>
        <v>Michelle Tesauro</v>
      </c>
      <c r="B98" s="10">
        <v>7.0</v>
      </c>
      <c r="C98" s="10">
        <v>10.0</v>
      </c>
      <c r="D98" s="10">
        <v>5.0</v>
      </c>
      <c r="E98" s="11">
        <v>2.0</v>
      </c>
      <c r="F98" s="12">
        <v>0.02</v>
      </c>
      <c r="G98" s="10">
        <v>16.0</v>
      </c>
      <c r="H98" s="10" t="s">
        <v>23</v>
      </c>
      <c r="I98" s="10" t="s">
        <v>42</v>
      </c>
      <c r="J98" s="10" t="s">
        <v>60</v>
      </c>
      <c r="K98" s="10" t="s">
        <v>137</v>
      </c>
      <c r="L98" s="13">
        <v>3.0</v>
      </c>
      <c r="M98" s="13">
        <v>3.0</v>
      </c>
      <c r="N98" s="13" t="s">
        <v>23</v>
      </c>
      <c r="O98" s="13">
        <v>2.0</v>
      </c>
      <c r="P98" s="10" t="s">
        <v>23</v>
      </c>
      <c r="Q98" s="10" t="s">
        <v>23</v>
      </c>
      <c r="R98" s="10"/>
      <c r="S98" s="10" t="s">
        <v>23</v>
      </c>
      <c r="T98" s="10"/>
      <c r="U98" s="10" t="s">
        <v>23</v>
      </c>
    </row>
    <row r="99">
      <c r="A99" s="9" t="str">
        <f>HYPERLINK("https://docs.google.com/spreadsheets/d/1HA0vQC0CSnQtVc8u58vwNd3sIFCc79SKVqM1abMG1hI/edit?usp=sharing","Max Dawson")</f>
        <v>Max Dawson</v>
      </c>
      <c r="B99" s="10">
        <v>30.0</v>
      </c>
      <c r="C99" s="10">
        <v>10.0</v>
      </c>
      <c r="D99" s="10">
        <v>5.0</v>
      </c>
      <c r="E99" s="11">
        <v>2.0</v>
      </c>
      <c r="F99" s="12">
        <v>0.0219</v>
      </c>
      <c r="G99" s="10">
        <v>14.0</v>
      </c>
      <c r="H99" s="10">
        <v>2.0</v>
      </c>
      <c r="I99" s="10" t="s">
        <v>42</v>
      </c>
      <c r="J99" s="10" t="s">
        <v>60</v>
      </c>
      <c r="K99" s="10" t="s">
        <v>114</v>
      </c>
      <c r="L99" s="13">
        <v>3.0</v>
      </c>
      <c r="M99" s="13">
        <v>3.0</v>
      </c>
      <c r="N99" s="13" t="s">
        <v>23</v>
      </c>
      <c r="O99" s="13">
        <v>2.0</v>
      </c>
      <c r="P99" s="10" t="s">
        <v>23</v>
      </c>
      <c r="Q99" s="10" t="s">
        <v>23</v>
      </c>
      <c r="R99" s="10"/>
      <c r="S99" s="10" t="s">
        <v>23</v>
      </c>
      <c r="T99" s="10"/>
      <c r="U99" s="10" t="s">
        <v>23</v>
      </c>
    </row>
    <row r="100">
      <c r="A100" s="15" t="str">
        <f>HYPERLINK("https://docs.google.com/spreadsheets/d/1tElnwN2HVf964gGw8Ei53RyfjarS40wkDY3zivAPWp0/edit?usp=sharing","Malcolm Freberg")</f>
        <v>Malcolm Freberg</v>
      </c>
      <c r="B100" s="13">
        <v>34.0</v>
      </c>
      <c r="C100" s="13">
        <v>10.0</v>
      </c>
      <c r="D100" s="13">
        <v>4.0</v>
      </c>
      <c r="E100" s="16">
        <v>2.5</v>
      </c>
      <c r="F100" s="17">
        <v>0.0243</v>
      </c>
      <c r="G100" s="13">
        <v>11.0</v>
      </c>
      <c r="H100" s="13" t="s">
        <v>23</v>
      </c>
      <c r="I100" s="13" t="s">
        <v>42</v>
      </c>
      <c r="J100" s="13" t="s">
        <v>60</v>
      </c>
      <c r="K100" s="13" t="s">
        <v>96</v>
      </c>
      <c r="L100" s="13">
        <v>2.0</v>
      </c>
      <c r="M100" s="13">
        <v>1.0</v>
      </c>
      <c r="N100" s="13" t="s">
        <v>23</v>
      </c>
      <c r="O100" s="13">
        <v>3.0</v>
      </c>
      <c r="P100" s="13" t="s">
        <v>23</v>
      </c>
      <c r="Q100" s="13" t="s">
        <v>23</v>
      </c>
      <c r="R100" s="13"/>
      <c r="S100" s="13" t="s">
        <v>23</v>
      </c>
      <c r="T100" s="13" t="s">
        <v>23</v>
      </c>
      <c r="U100" s="13" t="s">
        <v>23</v>
      </c>
    </row>
    <row r="101">
      <c r="A101" s="15" t="str">
        <f>HYPERLINK("https://docs.google.com/spreadsheets/d/1t379i2CYDM1ZVdZZy_Nj2m3ht6Sp4J68-xZ2v4-PIMo/edit?usp=sharing","Liz Markham")</f>
        <v>Liz Markham</v>
      </c>
      <c r="B101" s="13">
        <v>32.0</v>
      </c>
      <c r="C101" s="13">
        <v>10.0</v>
      </c>
      <c r="D101" s="13">
        <v>3.0</v>
      </c>
      <c r="E101" s="16">
        <v>3.33</v>
      </c>
      <c r="F101" s="17">
        <v>0.0202</v>
      </c>
      <c r="G101" s="13">
        <v>8.0</v>
      </c>
      <c r="H101" s="13" t="s">
        <v>23</v>
      </c>
      <c r="I101" s="13" t="s">
        <v>42</v>
      </c>
      <c r="J101" s="13" t="s">
        <v>60</v>
      </c>
      <c r="K101" s="13" t="s">
        <v>136</v>
      </c>
      <c r="L101" s="13">
        <v>2.0</v>
      </c>
      <c r="M101" s="13">
        <v>2.0</v>
      </c>
      <c r="N101" s="13" t="s">
        <v>23</v>
      </c>
      <c r="O101" s="13">
        <v>1.0</v>
      </c>
      <c r="P101" s="13" t="s">
        <v>23</v>
      </c>
      <c r="Q101" s="13" t="s">
        <v>23</v>
      </c>
      <c r="R101" s="13"/>
      <c r="S101" s="13" t="s">
        <v>23</v>
      </c>
      <c r="T101" s="13"/>
      <c r="U101" s="13" t="s">
        <v>23</v>
      </c>
    </row>
    <row r="102">
      <c r="A102" s="15" t="str">
        <f>HYPERLINK("https://docs.google.com/spreadsheets/d/1d8Hzm_QCJnDef8NF_dVYBZLjLjFI3Fl8Yt14m8Zhn8Y/edit?usp=sharing","Kim Mullen")</f>
        <v>Kim Mullen</v>
      </c>
      <c r="B102" s="13">
        <v>10.0</v>
      </c>
      <c r="C102" s="13">
        <v>10.0</v>
      </c>
      <c r="D102" s="13">
        <v>4.0</v>
      </c>
      <c r="E102" s="16">
        <v>2.5</v>
      </c>
      <c r="F102" s="17">
        <v>0.0234</v>
      </c>
      <c r="G102" s="13">
        <v>11.0</v>
      </c>
      <c r="H102" s="13">
        <v>1.0</v>
      </c>
      <c r="I102" s="13" t="s">
        <v>42</v>
      </c>
      <c r="J102" s="13" t="s">
        <v>60</v>
      </c>
      <c r="K102" s="13" t="s">
        <v>112</v>
      </c>
      <c r="L102" s="13">
        <v>2.0</v>
      </c>
      <c r="M102" s="13" t="s">
        <v>23</v>
      </c>
      <c r="N102" s="13" t="s">
        <v>23</v>
      </c>
      <c r="O102" s="13">
        <v>4.0</v>
      </c>
      <c r="P102" s="13" t="s">
        <v>23</v>
      </c>
      <c r="Q102" s="13" t="s">
        <v>23</v>
      </c>
      <c r="R102" s="13"/>
      <c r="S102" s="13" t="s">
        <v>23</v>
      </c>
      <c r="T102" s="13" t="s">
        <v>23</v>
      </c>
      <c r="U102" s="13" t="s">
        <v>23</v>
      </c>
    </row>
    <row r="103">
      <c r="A103" s="9" t="str">
        <f>HYPERLINK("https://docs.google.com/spreadsheets/d/1HA0vQC0CSnQtVc8u58vwNd3sIFCc79SKVqM1abMG1hI/edit?usp=sharing","Joaquin Souberbielle")</f>
        <v>Joaquin Souberbielle</v>
      </c>
      <c r="B103" s="10">
        <v>30.0</v>
      </c>
      <c r="C103" s="10">
        <v>10.0</v>
      </c>
      <c r="D103" s="10">
        <v>6.0</v>
      </c>
      <c r="E103" s="11">
        <v>1.67</v>
      </c>
      <c r="F103" s="12">
        <v>0.0219</v>
      </c>
      <c r="G103" s="10">
        <v>16.0</v>
      </c>
      <c r="H103" s="10" t="s">
        <v>23</v>
      </c>
      <c r="I103" s="10" t="s">
        <v>42</v>
      </c>
      <c r="J103" s="10" t="s">
        <v>60</v>
      </c>
      <c r="K103" s="10" t="s">
        <v>91</v>
      </c>
      <c r="L103" s="13">
        <v>4.0</v>
      </c>
      <c r="M103" s="13">
        <v>4.0</v>
      </c>
      <c r="N103" s="13" t="s">
        <v>23</v>
      </c>
      <c r="O103" s="13">
        <v>2.0</v>
      </c>
      <c r="P103" s="10" t="s">
        <v>23</v>
      </c>
      <c r="Q103" s="10" t="s">
        <v>23</v>
      </c>
      <c r="R103" s="10"/>
      <c r="S103" s="10" t="s">
        <v>23</v>
      </c>
      <c r="T103" s="10"/>
      <c r="U103" s="10" t="s">
        <v>23</v>
      </c>
    </row>
    <row r="104">
      <c r="A104" s="15" t="str">
        <f>HYPERLINK("https://docs.google.com/spreadsheets/d/1d8Hzm_QCJnDef8NF_dVYBZLjLjFI3Fl8Yt14m8Zhn8Y/edit?usp=sharing","Jeff Wilson")</f>
        <v>Jeff Wilson</v>
      </c>
      <c r="B104" s="13">
        <v>10.0</v>
      </c>
      <c r="C104" s="13">
        <v>10.0</v>
      </c>
      <c r="D104" s="13">
        <v>3.0</v>
      </c>
      <c r="E104" s="16">
        <v>3.33</v>
      </c>
      <c r="F104" s="17">
        <v>0.0234</v>
      </c>
      <c r="G104" s="13">
        <v>8.0</v>
      </c>
      <c r="H104" s="13">
        <v>1.0</v>
      </c>
      <c r="I104" s="13" t="s">
        <v>42</v>
      </c>
      <c r="J104" s="13" t="s">
        <v>60</v>
      </c>
      <c r="K104" s="13" t="s">
        <v>103</v>
      </c>
      <c r="L104" s="13">
        <v>2.0</v>
      </c>
      <c r="M104" s="13" t="s">
        <v>23</v>
      </c>
      <c r="N104" s="13" t="s">
        <v>23</v>
      </c>
      <c r="O104" s="13">
        <v>3.0</v>
      </c>
      <c r="P104" s="13" t="s">
        <v>23</v>
      </c>
      <c r="Q104" s="13" t="s">
        <v>23</v>
      </c>
      <c r="R104" s="13"/>
      <c r="S104" s="13" t="s">
        <v>23</v>
      </c>
      <c r="T104" s="13" t="s">
        <v>23</v>
      </c>
      <c r="U104" s="13" t="s">
        <v>23</v>
      </c>
    </row>
    <row r="105">
      <c r="A105" s="30" t="str">
        <f>HYPERLINK("https://docs.google.com/spreadsheets/d/1yi_HtvN4TS5uRWCCFJg5RFaoouiIIe8CAtY_XnqP6iM/edit?usp=sharing","Brady Finta")</f>
        <v>Brady Finta</v>
      </c>
      <c r="B105" s="31">
        <v>9.0</v>
      </c>
      <c r="C105" s="31">
        <v>10.0</v>
      </c>
      <c r="D105" s="31">
        <v>4.0</v>
      </c>
      <c r="E105" s="32">
        <v>2.5</v>
      </c>
      <c r="F105" s="33">
        <v>0.0239</v>
      </c>
      <c r="G105" s="31">
        <v>10.0</v>
      </c>
      <c r="H105" s="31">
        <v>2.0</v>
      </c>
      <c r="I105" s="31" t="s">
        <v>42</v>
      </c>
      <c r="J105" s="31" t="s">
        <v>60</v>
      </c>
      <c r="K105" s="31" t="s">
        <v>114</v>
      </c>
      <c r="L105" s="31">
        <v>1.0</v>
      </c>
      <c r="M105" s="31">
        <v>1.0</v>
      </c>
      <c r="N105" s="31" t="s">
        <v>23</v>
      </c>
      <c r="O105" s="31">
        <v>3.0</v>
      </c>
      <c r="P105" s="34" t="s">
        <v>23</v>
      </c>
      <c r="Q105" s="34" t="s">
        <v>23</v>
      </c>
      <c r="R105" s="34"/>
      <c r="S105" s="34" t="s">
        <v>23</v>
      </c>
      <c r="T105" s="34"/>
      <c r="U105" s="34" t="s">
        <v>23</v>
      </c>
    </row>
    <row r="106">
      <c r="A106" s="15" t="str">
        <f>HYPERLINK("https://docs.google.com/spreadsheets/d/1t379i2CYDM1ZVdZZy_Nj2m3ht6Sp4J68-xZ2v4-PIMo/edit?usp=sharing","Anna Khait")</f>
        <v>Anna Khait</v>
      </c>
      <c r="B106" s="13">
        <v>32.0</v>
      </c>
      <c r="C106" s="13">
        <v>10.0</v>
      </c>
      <c r="D106" s="13">
        <v>5.0</v>
      </c>
      <c r="E106" s="16">
        <v>2.0</v>
      </c>
      <c r="F106" s="17">
        <v>0.0202</v>
      </c>
      <c r="G106" s="13">
        <v>13.0</v>
      </c>
      <c r="H106" s="13">
        <v>2.0</v>
      </c>
      <c r="I106" s="13" t="s">
        <v>42</v>
      </c>
      <c r="J106" s="13" t="s">
        <v>60</v>
      </c>
      <c r="K106" s="13" t="s">
        <v>91</v>
      </c>
      <c r="L106" s="13">
        <v>4.0</v>
      </c>
      <c r="M106" s="13">
        <v>4.0</v>
      </c>
      <c r="N106" s="13" t="s">
        <v>23</v>
      </c>
      <c r="O106" s="13">
        <v>1.0</v>
      </c>
      <c r="P106" s="13" t="s">
        <v>23</v>
      </c>
      <c r="Q106" s="13" t="s">
        <v>23</v>
      </c>
      <c r="R106" s="13"/>
      <c r="S106" s="13" t="s">
        <v>23</v>
      </c>
      <c r="T106" s="13"/>
      <c r="U106" s="13" t="s">
        <v>23</v>
      </c>
    </row>
    <row r="107">
      <c r="A107" s="15" t="str">
        <f>HYPERLINK("https://docs.google.com/spreadsheets/d/1q-5bbq9txg93Y0eUACxRPTIN5PuRjeDVpNDfeXEw4iE/edit?usp=sharing","Alan Ball")</f>
        <v>Alan Ball</v>
      </c>
      <c r="B107" s="13">
        <v>35.0</v>
      </c>
      <c r="C107" s="13">
        <v>10.0</v>
      </c>
      <c r="D107" s="13">
        <v>4.0</v>
      </c>
      <c r="E107" s="16">
        <v>2.5</v>
      </c>
      <c r="F107" s="17">
        <v>0.0232</v>
      </c>
      <c r="G107" s="13">
        <v>11.0</v>
      </c>
      <c r="H107" s="13" t="s">
        <v>23</v>
      </c>
      <c r="I107" s="13" t="s">
        <v>42</v>
      </c>
      <c r="J107" s="13" t="s">
        <v>60</v>
      </c>
      <c r="K107" s="13" t="s">
        <v>113</v>
      </c>
      <c r="L107" s="13">
        <v>3.0</v>
      </c>
      <c r="M107" s="13">
        <v>2.0</v>
      </c>
      <c r="N107" s="13" t="s">
        <v>23</v>
      </c>
      <c r="O107" s="13">
        <v>2.0</v>
      </c>
      <c r="P107" s="13" t="s">
        <v>23</v>
      </c>
      <c r="Q107" s="13" t="s">
        <v>23</v>
      </c>
      <c r="R107" s="13"/>
      <c r="S107" s="13" t="s">
        <v>23</v>
      </c>
      <c r="T107" s="13" t="s">
        <v>23</v>
      </c>
      <c r="U107" s="13" t="s">
        <v>23</v>
      </c>
    </row>
    <row r="108">
      <c r="A108" s="9" t="str">
        <f>HYPERLINK("https://docs.google.com/spreadsheets/d/1ReMaq-fM8zzflOjjrMrgnxEsdZxPIPIJqiZ9cCLO3cE/edit?usp=sharing","Zane Knight")</f>
        <v>Zane Knight</v>
      </c>
      <c r="B108" s="10">
        <v>25.0</v>
      </c>
      <c r="C108" s="10">
        <v>9.0</v>
      </c>
      <c r="D108" s="10">
        <v>1.0</v>
      </c>
      <c r="E108" s="11">
        <v>9.0</v>
      </c>
      <c r="F108" s="12">
        <v>0.0207</v>
      </c>
      <c r="G108" s="10">
        <v>3.0</v>
      </c>
      <c r="H108" s="10" t="s">
        <v>23</v>
      </c>
      <c r="I108" s="10" t="s">
        <v>42</v>
      </c>
      <c r="J108" s="10" t="s">
        <v>60</v>
      </c>
      <c r="K108" s="10" t="s">
        <v>138</v>
      </c>
      <c r="L108" s="13" t="s">
        <v>23</v>
      </c>
      <c r="M108" s="13" t="s">
        <v>23</v>
      </c>
      <c r="N108" s="13" t="s">
        <v>23</v>
      </c>
      <c r="O108" s="13">
        <v>1.0</v>
      </c>
      <c r="P108" s="10" t="s">
        <v>23</v>
      </c>
      <c r="Q108" s="10" t="s">
        <v>23</v>
      </c>
      <c r="R108" s="10"/>
      <c r="S108" s="10" t="s">
        <v>23</v>
      </c>
      <c r="T108" s="10"/>
      <c r="U108" s="10" t="s">
        <v>23</v>
      </c>
    </row>
    <row r="109">
      <c r="A109" s="9" t="str">
        <f>HYPERLINK("https://docs.google.com/spreadsheets/d/14eN4V4imd53x81UQVckjyAx_2xIFGXJ8NE4XmE1oDkg/edit?usp=sharing","Stacey Stillman")</f>
        <v>Stacey Stillman</v>
      </c>
      <c r="B109" s="10">
        <v>1.0</v>
      </c>
      <c r="C109" s="10">
        <v>9.0</v>
      </c>
      <c r="D109" s="10">
        <v>3.0</v>
      </c>
      <c r="E109" s="11">
        <v>3.0</v>
      </c>
      <c r="F109" s="14">
        <v>0.0137</v>
      </c>
      <c r="G109" s="10">
        <v>9.0</v>
      </c>
      <c r="H109" s="10" t="s">
        <v>23</v>
      </c>
      <c r="I109" s="10" t="s">
        <v>42</v>
      </c>
      <c r="J109" s="10" t="s">
        <v>60</v>
      </c>
      <c r="K109" s="10" t="s">
        <v>137</v>
      </c>
      <c r="L109" s="13">
        <v>1.0</v>
      </c>
      <c r="M109" s="13">
        <v>1.0</v>
      </c>
      <c r="N109" s="13" t="s">
        <v>23</v>
      </c>
      <c r="O109" s="13">
        <v>2.0</v>
      </c>
      <c r="P109" s="10" t="s">
        <v>23</v>
      </c>
      <c r="Q109" s="10" t="s">
        <v>23</v>
      </c>
      <c r="R109" s="10"/>
      <c r="S109" s="10" t="s">
        <v>23</v>
      </c>
      <c r="T109" s="10"/>
      <c r="U109" s="10" t="s">
        <v>23</v>
      </c>
    </row>
    <row r="110">
      <c r="A110" s="9" t="str">
        <f>HYPERLINK("https://docs.google.com/spreadsheets/d/1OvIOVR4AMBMcafVt9o6KEur-eEFhew1kw_KUv3DV3Xs/edit?usp=sharing","Stacey Powell")</f>
        <v>Stacey Powell</v>
      </c>
      <c r="B110" s="10">
        <v>23.0</v>
      </c>
      <c r="C110" s="10">
        <v>9.0</v>
      </c>
      <c r="D110" s="10">
        <v>5.0</v>
      </c>
      <c r="E110" s="11">
        <v>1.8</v>
      </c>
      <c r="F110" s="12">
        <v>0.0224</v>
      </c>
      <c r="G110" s="10">
        <v>12.0</v>
      </c>
      <c r="H110" s="10">
        <v>2.0</v>
      </c>
      <c r="I110" s="10" t="s">
        <v>42</v>
      </c>
      <c r="J110" s="10" t="s">
        <v>60</v>
      </c>
      <c r="K110" s="10" t="s">
        <v>136</v>
      </c>
      <c r="L110" s="13">
        <v>1.0</v>
      </c>
      <c r="M110" s="13">
        <v>2.0</v>
      </c>
      <c r="N110" s="13" t="s">
        <v>23</v>
      </c>
      <c r="O110" s="13">
        <v>2.0</v>
      </c>
      <c r="P110" s="13" t="s">
        <v>23</v>
      </c>
      <c r="Q110" s="13">
        <v>1.0</v>
      </c>
      <c r="R110" s="13"/>
      <c r="S110" s="10" t="s">
        <v>23</v>
      </c>
      <c r="T110" s="10"/>
      <c r="U110" s="10" t="s">
        <v>23</v>
      </c>
    </row>
    <row r="111">
      <c r="A111" s="9" t="str">
        <f>HYPERLINK("https://docs.google.com/spreadsheets/d/1EsGJrNyA7pLwFUlZ6WfOkbnPz58Cle9N9c6epQSDRVA/edit?usp=sharing","Shirin Oskooi")</f>
        <v>Shirin Oskooi</v>
      </c>
      <c r="B111" s="10">
        <v>31.0</v>
      </c>
      <c r="C111" s="10">
        <v>9.0</v>
      </c>
      <c r="D111" s="10">
        <v>2.0</v>
      </c>
      <c r="E111" s="11">
        <v>4.5</v>
      </c>
      <c r="F111" s="12">
        <v>0.0205</v>
      </c>
      <c r="G111" s="10">
        <v>6.0</v>
      </c>
      <c r="H111" s="10" t="s">
        <v>23</v>
      </c>
      <c r="I111" s="10" t="s">
        <v>42</v>
      </c>
      <c r="J111" s="10" t="s">
        <v>60</v>
      </c>
      <c r="K111" s="10" t="s">
        <v>131</v>
      </c>
      <c r="L111" s="13">
        <v>1.0</v>
      </c>
      <c r="M111" s="13" t="s">
        <v>23</v>
      </c>
      <c r="N111" s="13" t="s">
        <v>23</v>
      </c>
      <c r="O111" s="13">
        <v>2.0</v>
      </c>
      <c r="P111" s="10" t="s">
        <v>23</v>
      </c>
      <c r="Q111" s="10" t="s">
        <v>23</v>
      </c>
      <c r="R111" s="10"/>
      <c r="S111" s="10" t="s">
        <v>23</v>
      </c>
      <c r="T111" s="10"/>
      <c r="U111" s="10" t="s">
        <v>23</v>
      </c>
    </row>
    <row r="112">
      <c r="A112" s="9" t="str">
        <f>HYPERLINK("https://docs.google.com/spreadsheets/d/1nYlVL4RxK2ZUH-a4MfKCalHyEjDRWz2ZumhyoaYsjTE/edit?usp=sharing","Shannon Elkins")</f>
        <v>Shannon Elkins</v>
      </c>
      <c r="B112" s="10">
        <v>21.0</v>
      </c>
      <c r="C112" s="10">
        <v>9.0</v>
      </c>
      <c r="D112" s="10">
        <v>2.0</v>
      </c>
      <c r="E112" s="11">
        <v>4.5</v>
      </c>
      <c r="F112" s="12">
        <v>0.0216</v>
      </c>
      <c r="G112" s="10">
        <v>6.0</v>
      </c>
      <c r="H112" s="10" t="s">
        <v>23</v>
      </c>
      <c r="I112" s="10" t="s">
        <v>42</v>
      </c>
      <c r="J112" s="10" t="s">
        <v>60</v>
      </c>
      <c r="K112" s="10" t="s">
        <v>131</v>
      </c>
      <c r="L112" s="13">
        <v>1.0</v>
      </c>
      <c r="M112" s="13">
        <v>1.0</v>
      </c>
      <c r="N112" s="13" t="s">
        <v>23</v>
      </c>
      <c r="O112" s="13">
        <v>1.0</v>
      </c>
      <c r="P112" s="10" t="s">
        <v>23</v>
      </c>
      <c r="Q112" s="10" t="s">
        <v>23</v>
      </c>
      <c r="R112" s="10"/>
      <c r="S112" s="10" t="s">
        <v>23</v>
      </c>
      <c r="T112" s="10"/>
      <c r="U112" s="10" t="s">
        <v>23</v>
      </c>
    </row>
    <row r="113">
      <c r="A113" s="9" t="str">
        <f>HYPERLINK("https://docs.google.com/spreadsheets/d/1EZNO7rY3X3GsqJDX9iY8RpZJJDJ-K4nm_Mxm1g397N0/edit?usp=sharing","Linda Spencer")</f>
        <v>Linda Spencer</v>
      </c>
      <c r="B113" s="10">
        <v>3.0</v>
      </c>
      <c r="C113" s="10">
        <v>9.0</v>
      </c>
      <c r="D113" s="10">
        <v>4.0</v>
      </c>
      <c r="E113" s="11">
        <v>2.25</v>
      </c>
      <c r="F113" s="12">
        <v>0.018</v>
      </c>
      <c r="G113" s="10">
        <v>12.0</v>
      </c>
      <c r="H113" s="10">
        <v>1.0</v>
      </c>
      <c r="I113" s="10" t="s">
        <v>42</v>
      </c>
      <c r="J113" s="10" t="s">
        <v>60</v>
      </c>
      <c r="K113" s="10" t="s">
        <v>107</v>
      </c>
      <c r="L113" s="13">
        <v>3.0</v>
      </c>
      <c r="M113" s="13">
        <v>2.0</v>
      </c>
      <c r="N113" s="13" t="s">
        <v>23</v>
      </c>
      <c r="O113" s="13">
        <v>2.0</v>
      </c>
      <c r="P113" s="10" t="s">
        <v>23</v>
      </c>
      <c r="Q113" s="10" t="s">
        <v>23</v>
      </c>
      <c r="R113" s="10"/>
      <c r="S113" s="10" t="s">
        <v>23</v>
      </c>
      <c r="T113" s="10"/>
      <c r="U113" s="10" t="s">
        <v>23</v>
      </c>
    </row>
    <row r="114">
      <c r="A114" s="9" t="str">
        <f>HYPERLINK("https://docs.google.com/spreadsheets/d/1LR80O0PvsOvoTuN5gHQd3Rls4b1rZmJd7EZ_DR2oRHs/edit?usp=sharing","Francesca Hogi")</f>
        <v>Francesca Hogi</v>
      </c>
      <c r="B114" s="43">
        <v>26.0</v>
      </c>
      <c r="C114" s="43">
        <v>9.0</v>
      </c>
      <c r="D114" s="43">
        <v>1.0</v>
      </c>
      <c r="E114" s="44">
        <v>9.0</v>
      </c>
      <c r="F114" s="45">
        <v>0.0218</v>
      </c>
      <c r="G114" s="43">
        <v>3.0</v>
      </c>
      <c r="H114" s="43" t="s">
        <v>23</v>
      </c>
      <c r="I114" s="43" t="s">
        <v>42</v>
      </c>
      <c r="J114" s="43" t="s">
        <v>60</v>
      </c>
      <c r="K114" s="43" t="s">
        <v>110</v>
      </c>
      <c r="L114" s="46">
        <v>1.0</v>
      </c>
      <c r="M114" s="46" t="s">
        <v>23</v>
      </c>
      <c r="N114" s="46" t="s">
        <v>23</v>
      </c>
      <c r="O114" s="46">
        <v>1.0</v>
      </c>
      <c r="P114" s="43" t="s">
        <v>23</v>
      </c>
      <c r="Q114" s="43" t="s">
        <v>23</v>
      </c>
      <c r="R114" s="43"/>
      <c r="S114" s="43" t="s">
        <v>23</v>
      </c>
      <c r="T114" s="43"/>
      <c r="U114" s="43" t="s">
        <v>23</v>
      </c>
    </row>
    <row r="115">
      <c r="A115" s="47" t="str">
        <f>HYPERLINK("https://docs.google.com/spreadsheets/d/1y7awzkkkaNlh7XKjc44AGriTvqB9H3pVz8cFLyIYdbo/edit?usp=sharing","Cliff Robinson")</f>
        <v>Cliff Robinson</v>
      </c>
      <c r="B115" s="48">
        <v>28.0</v>
      </c>
      <c r="C115" s="48">
        <v>9.0</v>
      </c>
      <c r="D115" s="48">
        <v>5.0</v>
      </c>
      <c r="E115" s="49">
        <v>1.8</v>
      </c>
      <c r="F115" s="50">
        <v>0.0196</v>
      </c>
      <c r="G115" s="48">
        <v>14.0</v>
      </c>
      <c r="H115" s="48">
        <v>1.0</v>
      </c>
      <c r="I115" s="48" t="s">
        <v>42</v>
      </c>
      <c r="J115" s="48" t="s">
        <v>60</v>
      </c>
      <c r="K115" s="48" t="s">
        <v>114</v>
      </c>
      <c r="L115" s="51">
        <v>5.0</v>
      </c>
      <c r="M115" s="51">
        <v>4.0</v>
      </c>
      <c r="N115" s="51" t="s">
        <v>23</v>
      </c>
      <c r="O115" s="51">
        <v>1.0</v>
      </c>
      <c r="P115" s="48" t="s">
        <v>23</v>
      </c>
      <c r="Q115" s="48" t="s">
        <v>23</v>
      </c>
      <c r="R115" s="48"/>
      <c r="S115" s="48" t="s">
        <v>23</v>
      </c>
      <c r="T115" s="48"/>
      <c r="U115" s="48" t="s">
        <v>23</v>
      </c>
    </row>
    <row r="116">
      <c r="A116" s="35" t="str">
        <f>HYPERLINK("https://docs.google.com/spreadsheets/d/1EZNO7rY3X3GsqJDX9iY8RpZJJDJ-K4nm_Mxm1g397N0/edit?usp=sharing","Carl Bilancione")</f>
        <v>Carl Bilancione</v>
      </c>
      <c r="B116" s="36">
        <v>3.0</v>
      </c>
      <c r="C116" s="36">
        <v>9.0</v>
      </c>
      <c r="D116" s="36">
        <v>3.0</v>
      </c>
      <c r="E116" s="37">
        <v>3.0</v>
      </c>
      <c r="F116" s="38">
        <v>0.018</v>
      </c>
      <c r="G116" s="36">
        <v>9.0</v>
      </c>
      <c r="H116" s="36">
        <v>1.0</v>
      </c>
      <c r="I116" s="36" t="s">
        <v>42</v>
      </c>
      <c r="J116" s="36" t="s">
        <v>60</v>
      </c>
      <c r="K116" s="36" t="s">
        <v>137</v>
      </c>
      <c r="L116" s="39">
        <v>2.0</v>
      </c>
      <c r="M116" s="39">
        <v>2.0</v>
      </c>
      <c r="N116" s="39" t="s">
        <v>23</v>
      </c>
      <c r="O116" s="39">
        <v>1.0</v>
      </c>
      <c r="P116" s="36" t="s">
        <v>23</v>
      </c>
      <c r="Q116" s="36" t="s">
        <v>23</v>
      </c>
      <c r="R116" s="36"/>
      <c r="S116" s="36" t="s">
        <v>23</v>
      </c>
      <c r="T116" s="36"/>
      <c r="U116" s="36" t="s">
        <v>23</v>
      </c>
    </row>
    <row r="117">
      <c r="A117" s="35" t="str">
        <f>HYPERLINK("https://docs.google.com/spreadsheets/d/1ReMaq-fM8zzflOjjrMrgnxEsdZxPIPIJqiZ9cCLO3cE/edit?usp=sharing","Angie Layton")</f>
        <v>Angie Layton</v>
      </c>
      <c r="B117" s="36">
        <v>25.0</v>
      </c>
      <c r="C117" s="36">
        <v>9.0</v>
      </c>
      <c r="D117" s="36">
        <v>3.0</v>
      </c>
      <c r="E117" s="37">
        <v>3.0</v>
      </c>
      <c r="F117" s="38">
        <v>0.0207</v>
      </c>
      <c r="G117" s="36">
        <v>8.0</v>
      </c>
      <c r="H117" s="36" t="s">
        <v>23</v>
      </c>
      <c r="I117" s="36" t="s">
        <v>42</v>
      </c>
      <c r="J117" s="36" t="s">
        <v>60</v>
      </c>
      <c r="K117" s="36" t="s">
        <v>136</v>
      </c>
      <c r="L117" s="39" t="s">
        <v>23</v>
      </c>
      <c r="M117" s="39" t="s">
        <v>23</v>
      </c>
      <c r="N117" s="39" t="s">
        <v>23</v>
      </c>
      <c r="O117" s="39">
        <v>3.0</v>
      </c>
      <c r="P117" s="36" t="s">
        <v>23</v>
      </c>
      <c r="Q117" s="36" t="s">
        <v>23</v>
      </c>
      <c r="R117" s="36"/>
      <c r="S117" s="36" t="s">
        <v>23</v>
      </c>
      <c r="T117" s="36"/>
      <c r="U117" s="36" t="s">
        <v>23</v>
      </c>
    </row>
    <row r="118">
      <c r="A118" s="35" t="str">
        <f>HYPERLINK("https://docs.google.com/spreadsheets/d/1nYlVL4RxK2ZUH-a4MfKCalHyEjDRWz2ZumhyoaYsjTE/edit?usp=sharing","Tyrone Davis")</f>
        <v>Tyrone Davis</v>
      </c>
      <c r="B118" s="36">
        <v>21.0</v>
      </c>
      <c r="C118" s="36">
        <v>8.0</v>
      </c>
      <c r="D118" s="36">
        <v>5.0</v>
      </c>
      <c r="E118" s="37">
        <v>1.6</v>
      </c>
      <c r="F118" s="38">
        <v>0.0192</v>
      </c>
      <c r="G118" s="36">
        <v>14.0</v>
      </c>
      <c r="H118" s="36">
        <v>1.0</v>
      </c>
      <c r="I118" s="36" t="s">
        <v>42</v>
      </c>
      <c r="J118" s="36" t="s">
        <v>60</v>
      </c>
      <c r="K118" s="36" t="s">
        <v>103</v>
      </c>
      <c r="L118" s="39">
        <v>2.0</v>
      </c>
      <c r="M118" s="39">
        <v>1.0</v>
      </c>
      <c r="N118" s="39" t="s">
        <v>23</v>
      </c>
      <c r="O118" s="39">
        <v>4.0</v>
      </c>
      <c r="P118" s="36" t="s">
        <v>23</v>
      </c>
      <c r="Q118" s="36" t="s">
        <v>23</v>
      </c>
      <c r="R118" s="36"/>
      <c r="S118" s="36" t="s">
        <v>23</v>
      </c>
      <c r="T118" s="36"/>
      <c r="U118" s="36" t="s">
        <v>23</v>
      </c>
    </row>
    <row r="119">
      <c r="A119" s="52" t="str">
        <f>HYPERLINK("https://docs.google.com/spreadsheets/d/1ZajpFwOHrMmupCcACeLhLTzPOwhTrjKRR1FJtUgeLww/edit?usp=sharing","Paul Wachter")</f>
        <v>Paul Wachter</v>
      </c>
      <c r="B119" s="39">
        <v>33.0</v>
      </c>
      <c r="C119" s="39">
        <v>8.0</v>
      </c>
      <c r="D119" s="39">
        <v>3.0</v>
      </c>
      <c r="E119" s="53">
        <v>2.67</v>
      </c>
      <c r="F119" s="54">
        <v>0.0184</v>
      </c>
      <c r="G119" s="39">
        <v>10.0</v>
      </c>
      <c r="H119" s="39" t="s">
        <v>23</v>
      </c>
      <c r="I119" s="39" t="s">
        <v>42</v>
      </c>
      <c r="J119" s="39" t="s">
        <v>60</v>
      </c>
      <c r="K119" s="39" t="s">
        <v>124</v>
      </c>
      <c r="L119" s="39">
        <v>1.0</v>
      </c>
      <c r="M119" s="39">
        <v>1.0</v>
      </c>
      <c r="N119" s="39" t="s">
        <v>23</v>
      </c>
      <c r="O119" s="39">
        <v>2.0</v>
      </c>
      <c r="P119" s="39" t="s">
        <v>23</v>
      </c>
      <c r="Q119" s="39" t="s">
        <v>23</v>
      </c>
      <c r="R119" s="39"/>
      <c r="S119" s="39" t="s">
        <v>23</v>
      </c>
      <c r="T119" s="39" t="s">
        <v>23</v>
      </c>
      <c r="U119" s="39" t="s">
        <v>23</v>
      </c>
    </row>
    <row r="120">
      <c r="A120" s="47" t="str">
        <f>HYPERLINK("https://docs.google.com/spreadsheets/d/1yi_HtvN4TS5uRWCCFJg5RFaoouiIIe8CAtY_XnqP6iM/edit?usp=sharing","Mia Galeotalanza")</f>
        <v>Mia Galeotalanza</v>
      </c>
      <c r="B120" s="48">
        <v>9.0</v>
      </c>
      <c r="C120" s="48">
        <v>8.0</v>
      </c>
      <c r="D120" s="48">
        <v>3.0</v>
      </c>
      <c r="E120" s="49">
        <v>2.67</v>
      </c>
      <c r="F120" s="55">
        <v>0.0191</v>
      </c>
      <c r="G120" s="48">
        <v>7.0</v>
      </c>
      <c r="H120" s="48" t="s">
        <v>23</v>
      </c>
      <c r="I120" s="48" t="s">
        <v>42</v>
      </c>
      <c r="J120" s="48" t="s">
        <v>60</v>
      </c>
      <c r="K120" s="48" t="s">
        <v>113</v>
      </c>
      <c r="L120" s="48">
        <v>2.0</v>
      </c>
      <c r="M120" s="48">
        <v>1.0</v>
      </c>
      <c r="N120" s="56"/>
      <c r="O120" s="48">
        <v>2.0</v>
      </c>
      <c r="P120" s="48" t="s">
        <v>23</v>
      </c>
      <c r="Q120" s="48" t="s">
        <v>23</v>
      </c>
      <c r="R120" s="48"/>
      <c r="S120" s="48" t="s">
        <v>23</v>
      </c>
      <c r="T120" s="48"/>
      <c r="U120" s="48" t="s">
        <v>23</v>
      </c>
    </row>
    <row r="121">
      <c r="A121" s="35" t="str">
        <f>HYPERLINK("https://docs.google.com/spreadsheets/d/1v6gXy2rHfH0CkzT8zUZyZm6b-WimbnBspkh1B5hksu4/edit?usp=sharing","Matt Quinlan")</f>
        <v>Matt Quinlan</v>
      </c>
      <c r="B121" s="36">
        <v>24.0</v>
      </c>
      <c r="C121" s="36">
        <v>8.0</v>
      </c>
      <c r="D121" s="36">
        <v>3.0</v>
      </c>
      <c r="E121" s="37">
        <v>2.67</v>
      </c>
      <c r="F121" s="38">
        <v>0.0209</v>
      </c>
      <c r="G121" s="36">
        <v>8.0</v>
      </c>
      <c r="H121" s="36">
        <v>1.0</v>
      </c>
      <c r="I121" s="36" t="s">
        <v>42</v>
      </c>
      <c r="J121" s="36" t="s">
        <v>60</v>
      </c>
      <c r="K121" s="36" t="s">
        <v>136</v>
      </c>
      <c r="L121" s="39">
        <v>2.0</v>
      </c>
      <c r="M121" s="39">
        <v>2.0</v>
      </c>
      <c r="N121" s="39" t="s">
        <v>23</v>
      </c>
      <c r="O121" s="39">
        <v>1.0</v>
      </c>
      <c r="P121" s="36" t="s">
        <v>23</v>
      </c>
      <c r="Q121" s="36" t="s">
        <v>23</v>
      </c>
      <c r="R121" s="36"/>
      <c r="S121" s="36" t="s">
        <v>23</v>
      </c>
      <c r="T121" s="36"/>
      <c r="U121" s="36" t="s">
        <v>23</v>
      </c>
    </row>
    <row r="122">
      <c r="A122" s="57" t="str">
        <f>HYPERLINK("https://docs.google.com/spreadsheets/d/1TniiK35-AGMNddj9lkge_tT9QfOGXMfX2thnTv8npTo/edit?usp=sharing","John Raymond")</f>
        <v>John Raymond</v>
      </c>
      <c r="B122" s="58">
        <v>5.0</v>
      </c>
      <c r="C122" s="58">
        <v>8.0</v>
      </c>
      <c r="D122" s="58">
        <v>1.0</v>
      </c>
      <c r="E122" s="59">
        <v>8.0</v>
      </c>
      <c r="F122" s="60">
        <v>0.0166</v>
      </c>
      <c r="G122" s="61">
        <v>3.0</v>
      </c>
      <c r="H122" s="61" t="s">
        <v>23</v>
      </c>
      <c r="I122" s="36" t="s">
        <v>42</v>
      </c>
      <c r="J122" s="58" t="s">
        <v>60</v>
      </c>
      <c r="K122" s="58" t="s">
        <v>140</v>
      </c>
      <c r="L122" s="39" t="s">
        <v>23</v>
      </c>
      <c r="M122" s="39" t="s">
        <v>23</v>
      </c>
      <c r="N122" s="39" t="s">
        <v>23</v>
      </c>
      <c r="O122" s="39">
        <v>1.0</v>
      </c>
      <c r="P122" s="36" t="s">
        <v>23</v>
      </c>
      <c r="Q122" s="36" t="s">
        <v>23</v>
      </c>
      <c r="R122" s="36"/>
      <c r="S122" s="36" t="s">
        <v>23</v>
      </c>
      <c r="T122" s="36"/>
      <c r="U122" s="36" t="s">
        <v>23</v>
      </c>
    </row>
    <row r="123">
      <c r="A123" s="15" t="str">
        <f>HYPERLINK("https://docs.google.com/spreadsheets/d/1t379i2CYDM1ZVdZZy_Nj2m3ht6Sp4J68-xZ2v4-PIMo/edit?usp=sharing","Jennifer Lanzetti")</f>
        <v>Jennifer Lanzetti</v>
      </c>
      <c r="B123" s="46">
        <v>32.0</v>
      </c>
      <c r="C123" s="46">
        <v>8.0</v>
      </c>
      <c r="D123" s="46">
        <v>2.0</v>
      </c>
      <c r="E123" s="62">
        <v>4.0</v>
      </c>
      <c r="F123" s="63">
        <v>0.0162</v>
      </c>
      <c r="G123" s="46">
        <v>6.0</v>
      </c>
      <c r="H123" s="46" t="s">
        <v>23</v>
      </c>
      <c r="I123" s="46" t="s">
        <v>42</v>
      </c>
      <c r="J123" s="46" t="s">
        <v>60</v>
      </c>
      <c r="K123" s="46" t="s">
        <v>128</v>
      </c>
      <c r="L123" s="46" t="s">
        <v>23</v>
      </c>
      <c r="M123" s="46" t="s">
        <v>23</v>
      </c>
      <c r="N123" s="46" t="s">
        <v>23</v>
      </c>
      <c r="O123" s="46">
        <v>2.0</v>
      </c>
      <c r="P123" s="46" t="s">
        <v>23</v>
      </c>
      <c r="Q123" s="46" t="s">
        <v>23</v>
      </c>
      <c r="R123" s="46"/>
      <c r="S123" s="46" t="s">
        <v>23</v>
      </c>
      <c r="T123" s="46"/>
      <c r="U123" s="46" t="s">
        <v>23</v>
      </c>
    </row>
    <row r="124">
      <c r="A124" s="35" t="str">
        <f>HYPERLINK("https://docs.google.com/spreadsheets/d/1w0I5RoQ7uENhUG1ncC5V9B3b6BQapplx180-f9F9s4w/edit?usp=sharing","Janet Koth")</f>
        <v>Janet Koth</v>
      </c>
      <c r="B124" s="36">
        <v>6.0</v>
      </c>
      <c r="C124" s="36">
        <v>8.0</v>
      </c>
      <c r="D124" s="36">
        <v>2.0</v>
      </c>
      <c r="E124" s="37">
        <v>4.0</v>
      </c>
      <c r="F124" s="38">
        <v>0.0165</v>
      </c>
      <c r="G124" s="36">
        <v>6.0</v>
      </c>
      <c r="H124" s="36" t="s">
        <v>23</v>
      </c>
      <c r="I124" s="36" t="s">
        <v>42</v>
      </c>
      <c r="J124" s="36" t="s">
        <v>60</v>
      </c>
      <c r="K124" s="36" t="s">
        <v>139</v>
      </c>
      <c r="L124" s="39">
        <v>1.0</v>
      </c>
      <c r="M124" s="39">
        <v>1.0</v>
      </c>
      <c r="N124" s="39" t="s">
        <v>23</v>
      </c>
      <c r="O124" s="39">
        <v>1.0</v>
      </c>
      <c r="P124" s="36" t="s">
        <v>23</v>
      </c>
      <c r="Q124" s="36" t="s">
        <v>23</v>
      </c>
      <c r="R124" s="36"/>
      <c r="S124" s="36" t="s">
        <v>23</v>
      </c>
      <c r="T124" s="36"/>
      <c r="U124" s="36" t="s">
        <v>23</v>
      </c>
    </row>
    <row r="125">
      <c r="A125" s="35" t="str">
        <f>HYPERLINK("https://docs.google.com/spreadsheets/d/1X-5lK1sJCBpvE08rC1VdSsGvayqyrC62cK7W45Q4XX8/edit?usp=sharing","Candice Cody")</f>
        <v>Candice Cody</v>
      </c>
      <c r="B125" s="36">
        <v>27.0</v>
      </c>
      <c r="C125" s="36">
        <v>8.0</v>
      </c>
      <c r="D125" s="36">
        <v>5.0</v>
      </c>
      <c r="E125" s="37">
        <v>1.6</v>
      </c>
      <c r="F125" s="38">
        <v>0.0185</v>
      </c>
      <c r="G125" s="36">
        <v>11.0</v>
      </c>
      <c r="H125" s="36">
        <v>2.0</v>
      </c>
      <c r="I125" s="36" t="s">
        <v>42</v>
      </c>
      <c r="J125" s="36" t="s">
        <v>60</v>
      </c>
      <c r="K125" s="36" t="s">
        <v>103</v>
      </c>
      <c r="L125" s="39" t="s">
        <v>23</v>
      </c>
      <c r="M125" s="39" t="s">
        <v>23</v>
      </c>
      <c r="N125" s="39" t="s">
        <v>23</v>
      </c>
      <c r="O125" s="39" t="s">
        <v>23</v>
      </c>
      <c r="P125" s="39" t="s">
        <v>23</v>
      </c>
      <c r="Q125" s="39">
        <v>1.0</v>
      </c>
      <c r="R125" s="39"/>
      <c r="S125" s="36" t="s">
        <v>23</v>
      </c>
      <c r="T125" s="36"/>
      <c r="U125" s="36" t="s">
        <v>23</v>
      </c>
    </row>
    <row r="126">
      <c r="A126" s="35" t="str">
        <f>HYPERLINK("https://docs.google.com/spreadsheets/d/1iNFGyKFcJm-tPp7Dg94yi7mHCDbJssmAD_PiaDM_tAE/edit?usp=sharing","Val Collins")</f>
        <v>Val Collins</v>
      </c>
      <c r="B126" s="36">
        <v>29.0</v>
      </c>
      <c r="C126" s="36">
        <v>7.0</v>
      </c>
      <c r="D126" s="36">
        <v>2.0</v>
      </c>
      <c r="E126" s="37">
        <v>3.5</v>
      </c>
      <c r="F126" s="38">
        <v>0.0157</v>
      </c>
      <c r="G126" s="36">
        <v>6.0</v>
      </c>
      <c r="H126" s="36" t="s">
        <v>23</v>
      </c>
      <c r="I126" s="36" t="s">
        <v>42</v>
      </c>
      <c r="J126" s="36" t="s">
        <v>60</v>
      </c>
      <c r="K126" s="36" t="s">
        <v>128</v>
      </c>
      <c r="L126" s="64" t="s">
        <v>23</v>
      </c>
      <c r="M126" s="64" t="s">
        <v>23</v>
      </c>
      <c r="N126" s="64" t="s">
        <v>23</v>
      </c>
      <c r="O126" s="64">
        <v>2.0</v>
      </c>
      <c r="P126" s="64">
        <v>1.0</v>
      </c>
      <c r="Q126" s="64" t="s">
        <v>23</v>
      </c>
      <c r="R126" s="64"/>
      <c r="S126" s="39" t="s">
        <v>23</v>
      </c>
      <c r="T126" s="39"/>
      <c r="U126" s="36" t="s">
        <v>23</v>
      </c>
    </row>
    <row r="127">
      <c r="A127" s="35" t="str">
        <f>HYPERLINK("https://docs.google.com/spreadsheets/d/1EsGJrNyA7pLwFUlZ6WfOkbnPz58Cle9N9c6epQSDRVA/edit?usp=sharing","Terry Deitz")</f>
        <v>Terry Deitz</v>
      </c>
      <c r="B127" s="36">
        <v>31.0</v>
      </c>
      <c r="C127" s="36">
        <v>7.0</v>
      </c>
      <c r="D127" s="36">
        <v>6.0</v>
      </c>
      <c r="E127" s="37">
        <v>1.17</v>
      </c>
      <c r="F127" s="38">
        <v>0.016</v>
      </c>
      <c r="G127" s="36">
        <v>13.0</v>
      </c>
      <c r="H127" s="36">
        <v>2.0</v>
      </c>
      <c r="I127" s="36" t="s">
        <v>42</v>
      </c>
      <c r="J127" s="36" t="s">
        <v>60</v>
      </c>
      <c r="K127" s="36" t="s">
        <v>112</v>
      </c>
      <c r="L127" s="39">
        <v>3.0</v>
      </c>
      <c r="M127" s="39">
        <v>3.0</v>
      </c>
      <c r="N127" s="39" t="s">
        <v>23</v>
      </c>
      <c r="O127" s="39">
        <v>2.0</v>
      </c>
      <c r="P127" s="36" t="s">
        <v>23</v>
      </c>
      <c r="Q127" s="36" t="s">
        <v>23</v>
      </c>
      <c r="R127" s="36"/>
      <c r="S127" s="36" t="s">
        <v>23</v>
      </c>
      <c r="T127" s="36"/>
      <c r="U127" s="36" t="s">
        <v>141</v>
      </c>
    </row>
    <row r="128">
      <c r="A128" s="35" t="str">
        <f>HYPERLINK("https://docs.google.com/spreadsheets/d/1hg_GT4r2smQsgkwEYBqHOukVavnNSyncsyfceWDpOho/edit?usp=sharing","Susan Hawk")</f>
        <v>Susan Hawk</v>
      </c>
      <c r="B128" s="36">
        <v>8.0</v>
      </c>
      <c r="C128" s="36">
        <v>7.0</v>
      </c>
      <c r="D128" s="36">
        <v>6.0</v>
      </c>
      <c r="E128" s="37">
        <v>1.17</v>
      </c>
      <c r="F128" s="38">
        <v>0.0138</v>
      </c>
      <c r="G128" s="36">
        <v>17.0</v>
      </c>
      <c r="H128" s="36">
        <v>2.0</v>
      </c>
      <c r="I128" s="36" t="s">
        <v>42</v>
      </c>
      <c r="J128" s="36" t="s">
        <v>60</v>
      </c>
      <c r="K128" s="36" t="s">
        <v>91</v>
      </c>
      <c r="L128" s="39">
        <v>4.0</v>
      </c>
      <c r="M128" s="39">
        <v>3.0</v>
      </c>
      <c r="N128" s="39" t="s">
        <v>23</v>
      </c>
      <c r="O128" s="39">
        <v>1.0</v>
      </c>
      <c r="P128" s="36" t="s">
        <v>23</v>
      </c>
      <c r="Q128" s="36" t="s">
        <v>23</v>
      </c>
      <c r="R128" s="36"/>
      <c r="S128" s="36" t="s">
        <v>23</v>
      </c>
      <c r="T128" s="36"/>
      <c r="U128" s="36" t="s">
        <v>64</v>
      </c>
    </row>
    <row r="129">
      <c r="A129" s="35" t="str">
        <f>HYPERLINK("https://docs.google.com/spreadsheets/d/1HA0vQC0CSnQtVc8u58vwNd3sIFCc79SKVqM1abMG1hI/edit?usp=sharing","So Kim")</f>
        <v>So Kim</v>
      </c>
      <c r="B129" s="36">
        <v>30.0</v>
      </c>
      <c r="C129" s="36">
        <v>7.0</v>
      </c>
      <c r="D129" s="36">
        <v>1.0</v>
      </c>
      <c r="E129" s="37">
        <v>7.0</v>
      </c>
      <c r="F129" s="38">
        <v>0.0153</v>
      </c>
      <c r="G129" s="36">
        <v>3.0</v>
      </c>
      <c r="H129" s="36" t="s">
        <v>23</v>
      </c>
      <c r="I129" s="36" t="s">
        <v>42</v>
      </c>
      <c r="J129" s="36" t="s">
        <v>60</v>
      </c>
      <c r="K129" s="36" t="s">
        <v>138</v>
      </c>
      <c r="L129" s="39" t="s">
        <v>23</v>
      </c>
      <c r="M129" s="39" t="s">
        <v>23</v>
      </c>
      <c r="N129" s="39" t="s">
        <v>23</v>
      </c>
      <c r="O129" s="39">
        <v>1.0</v>
      </c>
      <c r="P129" s="36" t="s">
        <v>23</v>
      </c>
      <c r="Q129" s="36" t="s">
        <v>23</v>
      </c>
      <c r="R129" s="36"/>
      <c r="S129" s="36" t="s">
        <v>23</v>
      </c>
      <c r="T129" s="36"/>
      <c r="U129" s="36" t="s">
        <v>23</v>
      </c>
    </row>
    <row r="130">
      <c r="A130" s="9" t="str">
        <f>HYPERLINK("https://docs.google.com/spreadsheets/d/1nRsx7fR5xbH1eAbI_vBDvqXOgh7mXIwmZNhzrVL6oGM/edit?usp=sharing","Sarah Jones")</f>
        <v>Sarah Jones</v>
      </c>
      <c r="B130" s="10">
        <v>4.0</v>
      </c>
      <c r="C130" s="10">
        <v>7.0</v>
      </c>
      <c r="D130" s="10">
        <v>4.0</v>
      </c>
      <c r="E130" s="11">
        <v>1.75</v>
      </c>
      <c r="F130" s="12">
        <v>0.0146</v>
      </c>
      <c r="G130" s="10">
        <v>12.0</v>
      </c>
      <c r="H130" s="10">
        <v>1.0</v>
      </c>
      <c r="I130" s="10" t="s">
        <v>42</v>
      </c>
      <c r="J130" s="10" t="s">
        <v>60</v>
      </c>
      <c r="K130" s="10" t="s">
        <v>107</v>
      </c>
      <c r="L130" s="13" t="s">
        <v>23</v>
      </c>
      <c r="M130" s="13" t="s">
        <v>23</v>
      </c>
      <c r="N130" s="13" t="s">
        <v>23</v>
      </c>
      <c r="O130" s="13">
        <v>4.0</v>
      </c>
      <c r="P130" s="10" t="s">
        <v>23</v>
      </c>
      <c r="Q130" s="10" t="s">
        <v>23</v>
      </c>
      <c r="R130" s="10"/>
      <c r="S130" s="10" t="s">
        <v>23</v>
      </c>
      <c r="T130" s="10"/>
      <c r="U130" s="10" t="s">
        <v>23</v>
      </c>
    </row>
    <row r="131">
      <c r="A131" s="9" t="str">
        <f>HYPERLINK("https://docs.google.com/spreadsheets/d/1X-5lK1sJCBpvE08rC1VdSsGvayqyrC62cK7W45Q4XX8/edit?usp=sharing","Rupert Boneham")</f>
        <v>Rupert Boneham</v>
      </c>
      <c r="B131" s="10">
        <v>27.0</v>
      </c>
      <c r="C131" s="10">
        <v>7.0</v>
      </c>
      <c r="D131" s="10">
        <v>2.0</v>
      </c>
      <c r="E131" s="11">
        <v>3.5</v>
      </c>
      <c r="F131" s="12">
        <v>0.0162</v>
      </c>
      <c r="G131" s="10">
        <v>4.0</v>
      </c>
      <c r="H131" s="10" t="s">
        <v>23</v>
      </c>
      <c r="I131" s="10" t="s">
        <v>42</v>
      </c>
      <c r="J131" s="10" t="s">
        <v>60</v>
      </c>
      <c r="K131" s="10" t="s">
        <v>110</v>
      </c>
      <c r="L131" s="13" t="s">
        <v>23</v>
      </c>
      <c r="M131" s="13" t="s">
        <v>23</v>
      </c>
      <c r="N131" s="13" t="s">
        <v>23</v>
      </c>
      <c r="O131" s="13" t="s">
        <v>23</v>
      </c>
      <c r="P131" s="13" t="s">
        <v>23</v>
      </c>
      <c r="Q131" s="13">
        <v>1.0</v>
      </c>
      <c r="R131" s="13"/>
      <c r="S131" s="10" t="s">
        <v>23</v>
      </c>
      <c r="T131" s="10"/>
      <c r="U131" s="10" t="s">
        <v>23</v>
      </c>
    </row>
    <row r="132">
      <c r="A132" s="9" t="str">
        <f>HYPERLINK("https://docs.google.com/spreadsheets/d/1ReMaq-fM8zzflOjjrMrgnxEsdZxPIPIJqiZ9cCLO3cE/edit?usp=sharing","Roxanne Morris")</f>
        <v>Roxanne Morris</v>
      </c>
      <c r="B132" s="10">
        <v>25.0</v>
      </c>
      <c r="C132" s="10">
        <v>7.0</v>
      </c>
      <c r="D132" s="10">
        <v>2.0</v>
      </c>
      <c r="E132" s="11">
        <v>3.5</v>
      </c>
      <c r="F132" s="12">
        <v>0.0161</v>
      </c>
      <c r="G132" s="10">
        <v>6.0</v>
      </c>
      <c r="H132" s="10" t="s">
        <v>23</v>
      </c>
      <c r="I132" s="10" t="s">
        <v>42</v>
      </c>
      <c r="J132" s="10" t="s">
        <v>60</v>
      </c>
      <c r="K132" s="10" t="s">
        <v>128</v>
      </c>
      <c r="L132" s="13" t="s">
        <v>23</v>
      </c>
      <c r="M132" s="13" t="s">
        <v>23</v>
      </c>
      <c r="N132" s="13" t="s">
        <v>23</v>
      </c>
      <c r="O132" s="13">
        <v>2.0</v>
      </c>
      <c r="P132" s="10" t="s">
        <v>23</v>
      </c>
      <c r="Q132" s="10" t="s">
        <v>23</v>
      </c>
      <c r="R132" s="10"/>
      <c r="S132" s="10" t="s">
        <v>23</v>
      </c>
      <c r="T132" s="10"/>
      <c r="U132" s="10" t="s">
        <v>23</v>
      </c>
    </row>
    <row r="133">
      <c r="A133" s="9" t="str">
        <f>HYPERLINK("https://docs.google.com/spreadsheets/d/1EsGJrNyA7pLwFUlZ6WfOkbnPz58Cle9N9c6epQSDRVA/edit?usp=sharing","Peih-Gee Law")</f>
        <v>Peih-Gee Law</v>
      </c>
      <c r="B133" s="10">
        <v>31.0</v>
      </c>
      <c r="C133" s="10">
        <v>7.0</v>
      </c>
      <c r="D133" s="10">
        <v>3.0</v>
      </c>
      <c r="E133" s="11">
        <v>2.33</v>
      </c>
      <c r="F133" s="12">
        <v>0.016</v>
      </c>
      <c r="G133" s="10">
        <v>9.0</v>
      </c>
      <c r="H133" s="10" t="s">
        <v>23</v>
      </c>
      <c r="I133" s="10" t="s">
        <v>42</v>
      </c>
      <c r="J133" s="10" t="s">
        <v>60</v>
      </c>
      <c r="K133" s="10" t="s">
        <v>124</v>
      </c>
      <c r="L133" s="13">
        <v>1.0</v>
      </c>
      <c r="M133" s="13" t="s">
        <v>23</v>
      </c>
      <c r="N133" s="13" t="s">
        <v>23</v>
      </c>
      <c r="O133" s="13">
        <v>3.0</v>
      </c>
      <c r="P133" s="10" t="s">
        <v>23</v>
      </c>
      <c r="Q133" s="10" t="s">
        <v>23</v>
      </c>
      <c r="R133" s="10"/>
      <c r="S133" s="10" t="s">
        <v>23</v>
      </c>
      <c r="T133" s="10"/>
      <c r="U133" s="10" t="s">
        <v>23</v>
      </c>
    </row>
    <row r="134">
      <c r="A134" s="9" t="str">
        <f>HYPERLINK("https://docs.google.com/spreadsheets/d/1tPYt5CqjX32YXnh0BRsechvszEP2n4_ePabpiRTSzqE/edit?usp=sharing","Nicole Delma")</f>
        <v>Nicole Delma</v>
      </c>
      <c r="B134" s="10">
        <v>7.0</v>
      </c>
      <c r="C134" s="10">
        <v>7.0</v>
      </c>
      <c r="D134" s="10">
        <v>1.0</v>
      </c>
      <c r="E134" s="11">
        <v>7.0</v>
      </c>
      <c r="F134" s="12">
        <v>0.014</v>
      </c>
      <c r="G134" s="10">
        <v>4.0</v>
      </c>
      <c r="H134" s="10" t="s">
        <v>23</v>
      </c>
      <c r="I134" s="10" t="s">
        <v>42</v>
      </c>
      <c r="J134" s="10" t="s">
        <v>60</v>
      </c>
      <c r="K134" s="10" t="s">
        <v>140</v>
      </c>
      <c r="L134" s="13" t="s">
        <v>23</v>
      </c>
      <c r="M134" s="13" t="s">
        <v>23</v>
      </c>
      <c r="N134" s="13" t="s">
        <v>23</v>
      </c>
      <c r="O134" s="13">
        <v>1.0</v>
      </c>
      <c r="P134" s="10" t="s">
        <v>23</v>
      </c>
      <c r="Q134" s="10" t="s">
        <v>23</v>
      </c>
      <c r="R134" s="10"/>
      <c r="S134" s="10" t="s">
        <v>23</v>
      </c>
      <c r="T134" s="10"/>
      <c r="U134" s="10" t="s">
        <v>23</v>
      </c>
    </row>
    <row r="135">
      <c r="A135" s="30" t="str">
        <f>HYPERLINK("https://docs.google.com/spreadsheets/d/1yi_HtvN4TS5uRWCCFJg5RFaoouiIIe8CAtY_XnqP6iM/edit?usp=sharing","Lisa Keiffer")</f>
        <v>Lisa Keiffer</v>
      </c>
      <c r="B135" s="31">
        <v>9.0</v>
      </c>
      <c r="C135" s="31">
        <v>7.0</v>
      </c>
      <c r="D135" s="31">
        <v>6.0</v>
      </c>
      <c r="E135" s="32">
        <v>1.17</v>
      </c>
      <c r="F135" s="33">
        <v>0.0167</v>
      </c>
      <c r="G135" s="31">
        <v>15.0</v>
      </c>
      <c r="H135" s="31">
        <v>1.0</v>
      </c>
      <c r="I135" s="31" t="s">
        <v>42</v>
      </c>
      <c r="J135" s="31" t="s">
        <v>60</v>
      </c>
      <c r="K135" s="31" t="s">
        <v>105</v>
      </c>
      <c r="L135" s="31">
        <v>3.0</v>
      </c>
      <c r="M135" s="31">
        <v>2.0</v>
      </c>
      <c r="N135" s="31" t="s">
        <v>23</v>
      </c>
      <c r="O135" s="31">
        <v>4.0</v>
      </c>
      <c r="P135" s="34" t="s">
        <v>23</v>
      </c>
      <c r="Q135" s="34" t="s">
        <v>23</v>
      </c>
      <c r="R135" s="34"/>
      <c r="S135" s="34" t="s">
        <v>23</v>
      </c>
      <c r="T135" s="34"/>
      <c r="U135" s="34" t="s">
        <v>23</v>
      </c>
    </row>
    <row r="136">
      <c r="A136" s="9" t="str">
        <f>HYPERLINK("https://docs.google.com/spreadsheets/d/1HA0vQC0CSnQtVc8u58vwNd3sIFCc79SKVqM1abMG1hI/edit?usp=sharing","Lindsey Cascaddan")</f>
        <v>Lindsey Cascaddan</v>
      </c>
      <c r="B136" s="10">
        <v>30.0</v>
      </c>
      <c r="C136" s="10">
        <v>7.0</v>
      </c>
      <c r="D136" s="10">
        <v>4.0</v>
      </c>
      <c r="E136" s="11">
        <v>1.75</v>
      </c>
      <c r="F136" s="12">
        <v>0.0153</v>
      </c>
      <c r="G136" s="10">
        <v>11.0</v>
      </c>
      <c r="H136" s="10" t="s">
        <v>23</v>
      </c>
      <c r="I136" s="10" t="s">
        <v>42</v>
      </c>
      <c r="J136" s="10" t="s">
        <v>60</v>
      </c>
      <c r="K136" s="10" t="s">
        <v>113</v>
      </c>
      <c r="L136" s="13">
        <v>3.0</v>
      </c>
      <c r="M136" s="13">
        <v>3.0</v>
      </c>
      <c r="N136" s="13" t="s">
        <v>23</v>
      </c>
      <c r="O136" s="13">
        <v>1.0</v>
      </c>
      <c r="P136" s="10" t="s">
        <v>23</v>
      </c>
      <c r="Q136" s="10" t="s">
        <v>23</v>
      </c>
      <c r="R136" s="10"/>
      <c r="S136" s="10" t="s">
        <v>23</v>
      </c>
      <c r="T136" s="10"/>
      <c r="U136" s="10" t="s">
        <v>23</v>
      </c>
    </row>
    <row r="137">
      <c r="A137" s="9" t="str">
        <f>HYPERLINK("https://docs.google.com/spreadsheets/d/1nYlVL4RxK2ZUH-a4MfKCalHyEjDRWz2ZumhyoaYsjTE/edit?usp=sharing","Kelly Bruno")</f>
        <v>Kelly Bruno</v>
      </c>
      <c r="B137" s="10">
        <v>21.0</v>
      </c>
      <c r="C137" s="10">
        <v>7.0</v>
      </c>
      <c r="D137" s="10">
        <v>6.0</v>
      </c>
      <c r="E137" s="11">
        <v>1.17</v>
      </c>
      <c r="F137" s="12">
        <v>0.0168</v>
      </c>
      <c r="G137" s="10">
        <v>15.0</v>
      </c>
      <c r="H137" s="10">
        <v>2.0</v>
      </c>
      <c r="I137" s="10" t="s">
        <v>42</v>
      </c>
      <c r="J137" s="10" t="s">
        <v>60</v>
      </c>
      <c r="K137" s="10" t="s">
        <v>112</v>
      </c>
      <c r="L137" s="13">
        <v>4.0</v>
      </c>
      <c r="M137" s="13">
        <v>4.0</v>
      </c>
      <c r="N137" s="13" t="s">
        <v>23</v>
      </c>
      <c r="O137" s="13">
        <v>2.0</v>
      </c>
      <c r="P137" s="10" t="s">
        <v>23</v>
      </c>
      <c r="Q137" s="10" t="s">
        <v>23</v>
      </c>
      <c r="R137" s="10"/>
      <c r="S137" s="10" t="s">
        <v>23</v>
      </c>
      <c r="T137" s="10"/>
      <c r="U137" s="10" t="s">
        <v>23</v>
      </c>
    </row>
    <row r="138">
      <c r="A138" s="40" t="str">
        <f>HYPERLINK("https://docs.google.com/spreadsheets/d/1yi_HtvN4TS5uRWCCFJg5RFaoouiIIe8CAtY_XnqP6iM/edit?usp=sharing","John Palyok")</f>
        <v>John Palyok</v>
      </c>
      <c r="B138" s="34">
        <v>9.0</v>
      </c>
      <c r="C138" s="34">
        <v>7.0</v>
      </c>
      <c r="D138" s="34">
        <v>3.0</v>
      </c>
      <c r="E138" s="41">
        <v>2.33</v>
      </c>
      <c r="F138" s="33">
        <v>0.0167</v>
      </c>
      <c r="G138" s="34">
        <v>7.0</v>
      </c>
      <c r="H138" s="34" t="s">
        <v>23</v>
      </c>
      <c r="I138" s="34" t="s">
        <v>42</v>
      </c>
      <c r="J138" s="34" t="s">
        <v>60</v>
      </c>
      <c r="K138" s="34" t="s">
        <v>136</v>
      </c>
      <c r="L138" s="34">
        <v>1.0</v>
      </c>
      <c r="M138" s="34">
        <v>1.0</v>
      </c>
      <c r="N138" s="65"/>
      <c r="O138" s="34">
        <v>2.0</v>
      </c>
      <c r="P138" s="34" t="s">
        <v>23</v>
      </c>
      <c r="Q138" s="34" t="s">
        <v>23</v>
      </c>
      <c r="R138" s="34"/>
      <c r="S138" s="34" t="s">
        <v>23</v>
      </c>
      <c r="T138" s="34"/>
      <c r="U138" s="34" t="s">
        <v>23</v>
      </c>
    </row>
    <row r="139">
      <c r="A139" s="19" t="str">
        <f>HYPERLINK("https://docs.google.com/spreadsheets/d/1TniiK35-AGMNddj9lkge_tT9QfOGXMfX2thnTv8npTo/edit?usp=sharing","Jed Hildebrand")</f>
        <v>Jed Hildebrand</v>
      </c>
      <c r="B139" s="20">
        <v>5.0</v>
      </c>
      <c r="C139" s="20">
        <v>7.0</v>
      </c>
      <c r="D139" s="20">
        <v>3.0</v>
      </c>
      <c r="E139" s="26">
        <v>2.33</v>
      </c>
      <c r="F139" s="14">
        <v>0.0145</v>
      </c>
      <c r="G139" s="21">
        <v>9.0</v>
      </c>
      <c r="H139" s="21" t="s">
        <v>23</v>
      </c>
      <c r="I139" s="10" t="s">
        <v>42</v>
      </c>
      <c r="J139" s="20" t="s">
        <v>60</v>
      </c>
      <c r="K139" s="20" t="s">
        <v>137</v>
      </c>
      <c r="L139" s="13">
        <v>1.0</v>
      </c>
      <c r="M139" s="13">
        <v>2.0</v>
      </c>
      <c r="N139" s="13" t="s">
        <v>23</v>
      </c>
      <c r="O139" s="13">
        <v>1.0</v>
      </c>
      <c r="P139" s="10" t="s">
        <v>23</v>
      </c>
      <c r="Q139" s="10" t="s">
        <v>23</v>
      </c>
      <c r="R139" s="10"/>
      <c r="S139" s="10" t="s">
        <v>23</v>
      </c>
      <c r="T139" s="10"/>
      <c r="U139" s="10" t="s">
        <v>23</v>
      </c>
    </row>
    <row r="140">
      <c r="A140" s="40" t="str">
        <f>HYPERLINK("https://docs.google.com/spreadsheets/d/1y7awzkkkaNlh7XKjc44AGriTvqB9H3pVz8cFLyIYdbo/edit?usp=sharing","J'Tia Taylor")</f>
        <v>J'Tia Taylor</v>
      </c>
      <c r="B140" s="34">
        <v>28.0</v>
      </c>
      <c r="C140" s="34">
        <v>7.0</v>
      </c>
      <c r="D140" s="34">
        <v>4.0</v>
      </c>
      <c r="E140" s="41">
        <v>1.75</v>
      </c>
      <c r="F140" s="42">
        <v>0.0153</v>
      </c>
      <c r="G140" s="34">
        <v>11.0</v>
      </c>
      <c r="H140" s="34" t="s">
        <v>23</v>
      </c>
      <c r="I140" s="34" t="s">
        <v>42</v>
      </c>
      <c r="J140" s="34" t="s">
        <v>60</v>
      </c>
      <c r="K140" s="34" t="s">
        <v>113</v>
      </c>
      <c r="L140" s="31">
        <v>1.0</v>
      </c>
      <c r="M140" s="31">
        <v>1.0</v>
      </c>
      <c r="N140" s="31" t="s">
        <v>23</v>
      </c>
      <c r="O140" s="31">
        <v>3.0</v>
      </c>
      <c r="P140" s="34" t="s">
        <v>23</v>
      </c>
      <c r="Q140" s="34" t="s">
        <v>23</v>
      </c>
      <c r="R140" s="34"/>
      <c r="S140" s="34" t="s">
        <v>23</v>
      </c>
      <c r="T140" s="34"/>
      <c r="U140" s="34" t="s">
        <v>23</v>
      </c>
    </row>
    <row r="141">
      <c r="A141" s="15" t="str">
        <f>HYPERLINK("https://docs.google.com/spreadsheets/d/1tElnwN2HVf964gGw8Ei53RyfjarS40wkDY3zivAPWp0/edit?usp=sharing","Caleb Reynolds")</f>
        <v>Caleb Reynolds</v>
      </c>
      <c r="B141" s="13">
        <v>34.0</v>
      </c>
      <c r="C141" s="13">
        <v>7.0</v>
      </c>
      <c r="D141" s="13">
        <v>3.0</v>
      </c>
      <c r="E141" s="16">
        <v>2.33</v>
      </c>
      <c r="F141" s="17">
        <v>0.017</v>
      </c>
      <c r="G141" s="13">
        <v>9.0</v>
      </c>
      <c r="H141" s="13" t="s">
        <v>23</v>
      </c>
      <c r="I141" s="13" t="s">
        <v>42</v>
      </c>
      <c r="J141" s="13" t="s">
        <v>60</v>
      </c>
      <c r="K141" s="13" t="s">
        <v>124</v>
      </c>
      <c r="L141" s="13" t="s">
        <v>23</v>
      </c>
      <c r="M141" s="13" t="s">
        <v>23</v>
      </c>
      <c r="N141" s="13" t="s">
        <v>23</v>
      </c>
      <c r="O141" s="13">
        <v>3.0</v>
      </c>
      <c r="P141" s="13" t="s">
        <v>23</v>
      </c>
      <c r="Q141" s="13" t="s">
        <v>23</v>
      </c>
      <c r="R141" s="13"/>
      <c r="S141" s="13" t="s">
        <v>23</v>
      </c>
      <c r="T141" s="13" t="s">
        <v>23</v>
      </c>
      <c r="U141" s="13" t="s">
        <v>23</v>
      </c>
    </row>
    <row r="142">
      <c r="A142" s="9" t="str">
        <f>HYPERLINK("https://docs.google.com/spreadsheets/d/1v6gXy2rHfH0CkzT8zUZyZm6b-WimbnBspkh1B5hksu4/edit?usp=sharing","Bill Posley")</f>
        <v>Bill Posley</v>
      </c>
      <c r="B142" s="10">
        <v>24.0</v>
      </c>
      <c r="C142" s="10">
        <v>7.0</v>
      </c>
      <c r="D142" s="10">
        <v>4.0</v>
      </c>
      <c r="E142" s="11">
        <v>1.75</v>
      </c>
      <c r="F142" s="12">
        <v>0.0183</v>
      </c>
      <c r="G142" s="10">
        <v>11.0</v>
      </c>
      <c r="H142" s="10">
        <v>1.0</v>
      </c>
      <c r="I142" s="10" t="s">
        <v>42</v>
      </c>
      <c r="J142" s="10" t="s">
        <v>60</v>
      </c>
      <c r="K142" s="10" t="s">
        <v>113</v>
      </c>
      <c r="L142" s="13">
        <v>2.0</v>
      </c>
      <c r="M142" s="13">
        <v>2.0</v>
      </c>
      <c r="N142" s="13" t="s">
        <v>23</v>
      </c>
      <c r="O142" s="13">
        <v>2.0</v>
      </c>
      <c r="P142" s="10" t="s">
        <v>23</v>
      </c>
      <c r="Q142" s="10" t="s">
        <v>23</v>
      </c>
      <c r="R142" s="10"/>
      <c r="S142" s="10" t="s">
        <v>23</v>
      </c>
      <c r="T142" s="10"/>
      <c r="U142" s="10" t="s">
        <v>23</v>
      </c>
    </row>
    <row r="143">
      <c r="A143" s="15" t="str">
        <f>HYPERLINK("https://docs.google.com/spreadsheets/d/1q-5bbq9txg93Y0eUACxRPTIN5PuRjeDVpNDfeXEw4iE/edit?usp=sharing","Roark Luskin")</f>
        <v>Roark Luskin</v>
      </c>
      <c r="B143" s="13">
        <v>35.0</v>
      </c>
      <c r="C143" s="13">
        <v>7.0</v>
      </c>
      <c r="D143" s="13">
        <v>5.0</v>
      </c>
      <c r="E143" s="16">
        <v>1.4</v>
      </c>
      <c r="F143" s="17">
        <v>0.0162</v>
      </c>
      <c r="G143" s="13">
        <v>14.0</v>
      </c>
      <c r="H143" s="13">
        <v>1.0</v>
      </c>
      <c r="I143" s="13" t="s">
        <v>42</v>
      </c>
      <c r="J143" s="13" t="s">
        <v>60</v>
      </c>
      <c r="K143" s="13" t="s">
        <v>114</v>
      </c>
      <c r="L143" s="13">
        <v>3.0</v>
      </c>
      <c r="M143" s="13">
        <v>4.0</v>
      </c>
      <c r="N143" s="13" t="s">
        <v>23</v>
      </c>
      <c r="O143" s="13">
        <v>1.0</v>
      </c>
      <c r="P143" s="13" t="s">
        <v>23</v>
      </c>
      <c r="Q143" s="13" t="s">
        <v>23</v>
      </c>
      <c r="R143" s="13"/>
      <c r="S143" s="13" t="s">
        <v>23</v>
      </c>
      <c r="T143" s="13" t="s">
        <v>23</v>
      </c>
      <c r="U143" s="13" t="s">
        <v>23</v>
      </c>
    </row>
    <row r="144">
      <c r="A144" s="15" t="str">
        <f>HYPERLINK("https://docs.google.com/spreadsheets/d/1q-5bbq9txg93Y0eUACxRPTIN5PuRjeDVpNDfeXEw4iE/edit?usp=sharing","Patrick Bolton")</f>
        <v>Patrick Bolton</v>
      </c>
      <c r="B144" s="13">
        <v>35.0</v>
      </c>
      <c r="C144" s="13">
        <v>7.0</v>
      </c>
      <c r="D144" s="13">
        <v>3.0</v>
      </c>
      <c r="E144" s="16">
        <v>2.33</v>
      </c>
      <c r="F144" s="17">
        <v>0.0162</v>
      </c>
      <c r="G144" s="13">
        <v>8.0</v>
      </c>
      <c r="H144" s="13" t="s">
        <v>23</v>
      </c>
      <c r="I144" s="13" t="s">
        <v>42</v>
      </c>
      <c r="J144" s="13" t="s">
        <v>60</v>
      </c>
      <c r="K144" s="13" t="s">
        <v>136</v>
      </c>
      <c r="L144" s="13" t="s">
        <v>23</v>
      </c>
      <c r="M144" s="13">
        <v>1.0</v>
      </c>
      <c r="N144" s="13" t="s">
        <v>23</v>
      </c>
      <c r="O144" s="13">
        <v>2.0</v>
      </c>
      <c r="P144" s="13" t="s">
        <v>23</v>
      </c>
      <c r="Q144" s="13" t="s">
        <v>23</v>
      </c>
      <c r="R144" s="13"/>
      <c r="S144" s="13" t="s">
        <v>23</v>
      </c>
      <c r="T144" s="13" t="s">
        <v>23</v>
      </c>
      <c r="U144" s="13" t="s">
        <v>23</v>
      </c>
    </row>
    <row r="145">
      <c r="A145" s="15" t="str">
        <f>HYPERLINK("https://docs.google.com/spreadsheets/d/1Hf_PbZTXAuooCoiF7c3Bz80t5-zCjdWHF8wQ_HyodNs/edit?usp=sharing","James Lim")</f>
        <v>James Lim</v>
      </c>
      <c r="B145" s="13">
        <v>36.0</v>
      </c>
      <c r="C145" s="13">
        <v>7.0</v>
      </c>
      <c r="D145" s="13">
        <v>6.0</v>
      </c>
      <c r="E145" s="16">
        <v>1.17</v>
      </c>
      <c r="F145" s="17">
        <v>0.0178</v>
      </c>
      <c r="G145" s="13">
        <v>17.0</v>
      </c>
      <c r="H145" s="13">
        <v>1.0</v>
      </c>
      <c r="I145" s="13" t="s">
        <v>42</v>
      </c>
      <c r="J145" s="13" t="s">
        <v>60</v>
      </c>
      <c r="K145" s="13" t="s">
        <v>112</v>
      </c>
      <c r="L145" s="13">
        <v>3.0</v>
      </c>
      <c r="M145" s="13">
        <v>2.0</v>
      </c>
      <c r="N145" s="13" t="s">
        <v>23</v>
      </c>
      <c r="O145" s="13">
        <v>4.0</v>
      </c>
      <c r="P145" s="13" t="s">
        <v>23</v>
      </c>
      <c r="Q145" s="13" t="s">
        <v>23</v>
      </c>
      <c r="R145" s="13"/>
      <c r="S145" s="13" t="s">
        <v>23</v>
      </c>
      <c r="T145" s="13" t="s">
        <v>23</v>
      </c>
      <c r="U145" s="13" t="s">
        <v>23</v>
      </c>
    </row>
    <row r="146">
      <c r="A146" s="9" t="str">
        <f>HYPERLINK("https://docs.google.com/spreadsheets/d/1nYlVL4RxK2ZUH-a4MfKCalHyEjDRWz2ZumhyoaYsjTE/edit?usp=sharing","Yve Rojas")</f>
        <v>Yve Rojas</v>
      </c>
      <c r="B146" s="10">
        <v>21.0</v>
      </c>
      <c r="C146" s="10">
        <v>6.0</v>
      </c>
      <c r="D146" s="10">
        <v>6.0</v>
      </c>
      <c r="E146" s="11">
        <v>1.0</v>
      </c>
      <c r="F146" s="12">
        <v>0.0144</v>
      </c>
      <c r="G146" s="10">
        <v>15.0</v>
      </c>
      <c r="H146" s="10">
        <v>3.0</v>
      </c>
      <c r="I146" s="10" t="s">
        <v>42</v>
      </c>
      <c r="J146" s="10" t="s">
        <v>60</v>
      </c>
      <c r="K146" s="10" t="s">
        <v>111</v>
      </c>
      <c r="L146" s="13">
        <v>2.0</v>
      </c>
      <c r="M146" s="13">
        <v>1.0</v>
      </c>
      <c r="N146" s="13" t="s">
        <v>23</v>
      </c>
      <c r="O146" s="13">
        <v>5.0</v>
      </c>
      <c r="P146" s="10" t="s">
        <v>23</v>
      </c>
      <c r="Q146" s="10" t="s">
        <v>23</v>
      </c>
      <c r="R146" s="10"/>
      <c r="S146" s="10" t="s">
        <v>23</v>
      </c>
      <c r="T146" s="10"/>
      <c r="U146" s="10" t="s">
        <v>23</v>
      </c>
    </row>
    <row r="147">
      <c r="A147" s="9" t="str">
        <f>HYPERLINK("https://docs.google.com/spreadsheets/d/1ReMaq-fM8zzflOjjrMrgnxEsdZxPIPIJqiZ9cCLO3cE/edit?usp=sharing","Sarah Dawson")</f>
        <v>Sarah Dawson</v>
      </c>
      <c r="B147" s="10">
        <v>25.0</v>
      </c>
      <c r="C147" s="10">
        <v>6.0</v>
      </c>
      <c r="D147" s="10">
        <v>5.0</v>
      </c>
      <c r="E147" s="11">
        <v>1.2</v>
      </c>
      <c r="F147" s="12">
        <v>0.0138</v>
      </c>
      <c r="G147" s="10">
        <v>13.0</v>
      </c>
      <c r="H147" s="10">
        <v>2.0</v>
      </c>
      <c r="I147" s="10" t="s">
        <v>42</v>
      </c>
      <c r="J147" s="10" t="s">
        <v>60</v>
      </c>
      <c r="K147" s="10" t="s">
        <v>91</v>
      </c>
      <c r="L147" s="13">
        <v>4.0</v>
      </c>
      <c r="M147" s="13">
        <v>4.0</v>
      </c>
      <c r="N147" s="13" t="s">
        <v>23</v>
      </c>
      <c r="O147" s="13">
        <v>1.0</v>
      </c>
      <c r="P147" s="10" t="s">
        <v>23</v>
      </c>
      <c r="Q147" s="10" t="s">
        <v>23</v>
      </c>
      <c r="R147" s="10"/>
      <c r="S147" s="10" t="s">
        <v>23</v>
      </c>
      <c r="T147" s="10"/>
      <c r="U147" s="10" t="s">
        <v>23</v>
      </c>
    </row>
    <row r="148">
      <c r="A148" s="9" t="str">
        <f>HYPERLINK("https://docs.google.com/spreadsheets/d/1HA0vQC0CSnQtVc8u58vwNd3sIFCc79SKVqM1abMG1hI/edit?usp=sharing","Nina Poersch")</f>
        <v>Nina Poersch</v>
      </c>
      <c r="B148" s="10">
        <v>30.0</v>
      </c>
      <c r="C148" s="10">
        <v>6.0</v>
      </c>
      <c r="D148" s="10">
        <v>3.0</v>
      </c>
      <c r="E148" s="11">
        <v>2.0</v>
      </c>
      <c r="F148" s="12">
        <v>0.0131</v>
      </c>
      <c r="G148" s="10">
        <v>8.0</v>
      </c>
      <c r="H148" s="10" t="s">
        <v>23</v>
      </c>
      <c r="I148" s="10" t="s">
        <v>42</v>
      </c>
      <c r="J148" s="10" t="s">
        <v>60</v>
      </c>
      <c r="K148" s="10" t="s">
        <v>136</v>
      </c>
      <c r="L148" s="13">
        <v>1.0</v>
      </c>
      <c r="M148" s="13">
        <v>1.0</v>
      </c>
      <c r="N148" s="13" t="s">
        <v>23</v>
      </c>
      <c r="O148" s="13">
        <v>2.0</v>
      </c>
      <c r="P148" s="10" t="s">
        <v>23</v>
      </c>
      <c r="Q148" s="10" t="s">
        <v>23</v>
      </c>
      <c r="R148" s="10"/>
      <c r="S148" s="10" t="s">
        <v>23</v>
      </c>
      <c r="T148" s="10"/>
      <c r="U148" s="10" t="s">
        <v>23</v>
      </c>
    </row>
    <row r="149">
      <c r="A149" s="9" t="str">
        <f>HYPERLINK("https://docs.google.com/spreadsheets/d/1v6gXy2rHfH0CkzT8zUZyZm6b-WimbnBspkh1B5hksu4/edit?usp=sharing","Nina Acosta")</f>
        <v>Nina Acosta</v>
      </c>
      <c r="B149" s="10">
        <v>24.0</v>
      </c>
      <c r="C149" s="10">
        <v>6.0</v>
      </c>
      <c r="D149" s="10">
        <v>2.0</v>
      </c>
      <c r="E149" s="11">
        <v>3.0</v>
      </c>
      <c r="F149" s="12">
        <v>0.0157</v>
      </c>
      <c r="G149" s="10">
        <v>5.0</v>
      </c>
      <c r="H149" s="10" t="s">
        <v>23</v>
      </c>
      <c r="I149" s="10" t="s">
        <v>42</v>
      </c>
      <c r="J149" s="10" t="s">
        <v>60</v>
      </c>
      <c r="K149" s="10" t="s">
        <v>128</v>
      </c>
      <c r="L149" s="13" t="s">
        <v>23</v>
      </c>
      <c r="M149" s="13" t="s">
        <v>23</v>
      </c>
      <c r="N149" s="13" t="s">
        <v>23</v>
      </c>
      <c r="O149" s="13">
        <v>1.0</v>
      </c>
      <c r="P149" s="10" t="s">
        <v>23</v>
      </c>
      <c r="Q149" s="10" t="s">
        <v>23</v>
      </c>
      <c r="R149" s="10"/>
      <c r="S149" s="10" t="s">
        <v>23</v>
      </c>
      <c r="T149" s="10"/>
      <c r="U149" s="10" t="s">
        <v>23</v>
      </c>
    </row>
    <row r="150">
      <c r="A150" s="9" t="str">
        <f>HYPERLINK("https://docs.google.com/spreadsheets/d/1EsGJrNyA7pLwFUlZ6WfOkbnPz58Cle9N9c6epQSDRVA/edit?usp=sharing","Monica Padilla")</f>
        <v>Monica Padilla</v>
      </c>
      <c r="B150" s="10">
        <v>31.0</v>
      </c>
      <c r="C150" s="10">
        <v>6.0</v>
      </c>
      <c r="D150" s="10">
        <v>5.0</v>
      </c>
      <c r="E150" s="11">
        <v>1.2</v>
      </c>
      <c r="F150" s="12">
        <v>0.0137</v>
      </c>
      <c r="G150" s="10">
        <v>13.0</v>
      </c>
      <c r="H150" s="10">
        <v>1.0</v>
      </c>
      <c r="I150" s="10" t="s">
        <v>42</v>
      </c>
      <c r="J150" s="10" t="s">
        <v>60</v>
      </c>
      <c r="K150" s="10" t="s">
        <v>103</v>
      </c>
      <c r="L150" s="13">
        <v>2.0</v>
      </c>
      <c r="M150" s="13">
        <v>4.0</v>
      </c>
      <c r="N150" s="13" t="s">
        <v>23</v>
      </c>
      <c r="O150" s="13">
        <v>1.0</v>
      </c>
      <c r="P150" s="10" t="s">
        <v>23</v>
      </c>
      <c r="Q150" s="10" t="s">
        <v>23</v>
      </c>
      <c r="R150" s="10"/>
      <c r="S150" s="10" t="s">
        <v>23</v>
      </c>
      <c r="T150" s="10"/>
      <c r="U150" s="10" t="s">
        <v>23</v>
      </c>
    </row>
    <row r="151">
      <c r="A151" s="9" t="str">
        <f>HYPERLINK("https://docs.google.com/spreadsheets/d/1v6gXy2rHfH0CkzT8zUZyZm6b-WimbnBspkh1B5hksu4/edit?usp=sharing","Monica Culpepper")</f>
        <v>Monica Culpepper</v>
      </c>
      <c r="B151" s="10">
        <v>24.0</v>
      </c>
      <c r="C151" s="10">
        <v>6.0</v>
      </c>
      <c r="D151" s="10">
        <v>5.0</v>
      </c>
      <c r="E151" s="11">
        <v>1.2</v>
      </c>
      <c r="F151" s="12">
        <v>0.0157</v>
      </c>
      <c r="G151" s="10">
        <v>14.0</v>
      </c>
      <c r="H151" s="10">
        <v>1.0</v>
      </c>
      <c r="I151" s="10" t="s">
        <v>42</v>
      </c>
      <c r="J151" s="10" t="s">
        <v>60</v>
      </c>
      <c r="K151" s="10" t="s">
        <v>114</v>
      </c>
      <c r="L151" s="13">
        <v>2.0</v>
      </c>
      <c r="M151" s="13">
        <v>2.0</v>
      </c>
      <c r="N151" s="13" t="s">
        <v>23</v>
      </c>
      <c r="O151" s="13">
        <v>2.0</v>
      </c>
      <c r="P151" s="10" t="s">
        <v>23</v>
      </c>
      <c r="Q151" s="10" t="s">
        <v>23</v>
      </c>
      <c r="R151" s="10"/>
      <c r="S151" s="10" t="s">
        <v>23</v>
      </c>
      <c r="T151" s="10"/>
      <c r="U151" s="10" t="s">
        <v>23</v>
      </c>
    </row>
    <row r="152">
      <c r="A152" s="9" t="str">
        <f>HYPERLINK("https://docs.google.com/spreadsheets/d/1OvIOVR4AMBMcafVt9o6KEur-eEFhew1kw_KUv3DV3Xs/edit?usp=sharing","Mark Caruso")</f>
        <v>Mark Caruso</v>
      </c>
      <c r="B152" s="10">
        <v>23.0</v>
      </c>
      <c r="C152" s="10">
        <v>6.0</v>
      </c>
      <c r="D152" s="10">
        <v>4.0</v>
      </c>
      <c r="E152" s="11">
        <v>1.5</v>
      </c>
      <c r="F152" s="12">
        <v>0.015</v>
      </c>
      <c r="G152" s="10">
        <v>9.0</v>
      </c>
      <c r="H152" s="10">
        <v>2.0</v>
      </c>
      <c r="I152" s="10" t="s">
        <v>42</v>
      </c>
      <c r="J152" s="10" t="s">
        <v>60</v>
      </c>
      <c r="K152" s="10" t="s">
        <v>128</v>
      </c>
      <c r="L152" s="13">
        <v>2.0</v>
      </c>
      <c r="M152" s="13">
        <v>1.0</v>
      </c>
      <c r="N152" s="13" t="s">
        <v>23</v>
      </c>
      <c r="O152" s="13">
        <v>2.0</v>
      </c>
      <c r="P152" s="13" t="s">
        <v>23</v>
      </c>
      <c r="Q152" s="13">
        <v>1.0</v>
      </c>
      <c r="R152" s="13"/>
      <c r="S152" s="10" t="s">
        <v>23</v>
      </c>
      <c r="T152" s="10"/>
      <c r="U152" s="10" t="s">
        <v>23</v>
      </c>
    </row>
    <row r="153">
      <c r="A153" s="15" t="str">
        <f>HYPERLINK("https://docs.google.com/spreadsheets/d/1ZajpFwOHrMmupCcACeLhLTzPOwhTrjKRR1FJtUgeLww/edit?usp=sharing","Mari Takahashi")</f>
        <v>Mari Takahashi</v>
      </c>
      <c r="B153" s="13">
        <v>33.0</v>
      </c>
      <c r="C153" s="13">
        <v>6.0</v>
      </c>
      <c r="D153" s="13">
        <v>2.0</v>
      </c>
      <c r="E153" s="16">
        <v>3.0</v>
      </c>
      <c r="F153" s="17">
        <v>0.0138</v>
      </c>
      <c r="G153" s="13">
        <v>7.0</v>
      </c>
      <c r="H153" s="13" t="s">
        <v>23</v>
      </c>
      <c r="I153" s="13" t="s">
        <v>42</v>
      </c>
      <c r="J153" s="13" t="s">
        <v>60</v>
      </c>
      <c r="K153" s="13" t="s">
        <v>131</v>
      </c>
      <c r="L153" s="13">
        <v>1.0</v>
      </c>
      <c r="M153" s="13">
        <v>1.0</v>
      </c>
      <c r="N153" s="13" t="s">
        <v>23</v>
      </c>
      <c r="O153" s="13">
        <v>1.0</v>
      </c>
      <c r="P153" s="13" t="s">
        <v>23</v>
      </c>
      <c r="Q153" s="13" t="s">
        <v>23</v>
      </c>
      <c r="R153" s="13"/>
      <c r="S153" s="13" t="s">
        <v>23</v>
      </c>
      <c r="T153" s="13" t="s">
        <v>23</v>
      </c>
      <c r="U153" s="13" t="s">
        <v>23</v>
      </c>
    </row>
    <row r="154">
      <c r="A154" s="40" t="str">
        <f>HYPERLINK("https://docs.google.com/spreadsheets/d/1y7awzkkkaNlh7XKjc44AGriTvqB9H3pVz8cFLyIYdbo/edit?usp=sharing","Lindsey Ogle")</f>
        <v>Lindsey Ogle</v>
      </c>
      <c r="B154" s="34">
        <v>28.0</v>
      </c>
      <c r="C154" s="34">
        <v>6.0</v>
      </c>
      <c r="D154" s="34">
        <v>6.0</v>
      </c>
      <c r="E154" s="41">
        <v>1.0</v>
      </c>
      <c r="F154" s="42">
        <v>0.0131</v>
      </c>
      <c r="G154" s="34">
        <v>14.0</v>
      </c>
      <c r="H154" s="34">
        <v>2.0</v>
      </c>
      <c r="I154" s="34" t="s">
        <v>42</v>
      </c>
      <c r="J154" s="34" t="s">
        <v>60</v>
      </c>
      <c r="K154" s="34" t="s">
        <v>91</v>
      </c>
      <c r="L154" s="31">
        <v>5.0</v>
      </c>
      <c r="M154" s="31">
        <v>4.0</v>
      </c>
      <c r="N154" s="31" t="s">
        <v>23</v>
      </c>
      <c r="O154" s="31">
        <v>1.0</v>
      </c>
      <c r="P154" s="34" t="s">
        <v>23</v>
      </c>
      <c r="Q154" s="34" t="s">
        <v>23</v>
      </c>
      <c r="R154" s="34"/>
      <c r="S154" s="34" t="s">
        <v>23</v>
      </c>
      <c r="T154" s="34"/>
      <c r="U154" s="34" t="s">
        <v>64</v>
      </c>
    </row>
    <row r="155">
      <c r="A155" s="9" t="str">
        <f>HYPERLINK("https://docs.google.com/spreadsheets/d/1CcEdjXKuhm6HmXecNbnscxpFab1HRQEjKSDga6QxqAU/edit?usp=sharing","Krista Klumpp")</f>
        <v>Krista Klumpp</v>
      </c>
      <c r="B155" s="10">
        <v>22.0</v>
      </c>
      <c r="C155" s="10">
        <v>6.0</v>
      </c>
      <c r="D155" s="10">
        <v>6.0</v>
      </c>
      <c r="E155" s="11">
        <v>1.0</v>
      </c>
      <c r="F155" s="12">
        <v>0.0142</v>
      </c>
      <c r="G155" s="10">
        <v>14.0</v>
      </c>
      <c r="H155" s="10">
        <v>3.0</v>
      </c>
      <c r="I155" s="10" t="s">
        <v>42</v>
      </c>
      <c r="J155" s="10" t="s">
        <v>60</v>
      </c>
      <c r="K155" s="10" t="s">
        <v>113</v>
      </c>
      <c r="L155" s="13">
        <v>3.0</v>
      </c>
      <c r="M155" s="13">
        <v>3.0</v>
      </c>
      <c r="N155" s="13" t="s">
        <v>23</v>
      </c>
      <c r="O155" s="13">
        <v>2.0</v>
      </c>
      <c r="P155" s="13" t="s">
        <v>23</v>
      </c>
      <c r="Q155" s="13">
        <v>1.0</v>
      </c>
      <c r="R155" s="13"/>
      <c r="S155" s="10" t="s">
        <v>23</v>
      </c>
      <c r="T155" s="10"/>
      <c r="U155" s="10" t="s">
        <v>23</v>
      </c>
    </row>
    <row r="156">
      <c r="A156" s="9" t="str">
        <f>HYPERLINK("https://docs.google.com/spreadsheets/d/1iNFGyKFcJm-tPp7Dg94yi7mHCDbJssmAD_PiaDM_tAE/edit?usp=sharing","Kelley Wentworth")</f>
        <v>Kelley Wentworth</v>
      </c>
      <c r="B156" s="10">
        <v>29.0</v>
      </c>
      <c r="C156" s="10">
        <v>6.0</v>
      </c>
      <c r="D156" s="10">
        <v>5.0</v>
      </c>
      <c r="E156" s="11">
        <v>1.2</v>
      </c>
      <c r="F156" s="12">
        <v>0.0135</v>
      </c>
      <c r="G156" s="10">
        <v>13.0</v>
      </c>
      <c r="H156" s="10">
        <v>1.0</v>
      </c>
      <c r="I156" s="10" t="s">
        <v>42</v>
      </c>
      <c r="J156" s="10" t="s">
        <v>60</v>
      </c>
      <c r="K156" s="10" t="s">
        <v>114</v>
      </c>
      <c r="L156" s="23">
        <v>3.0</v>
      </c>
      <c r="M156" s="23">
        <v>3.0</v>
      </c>
      <c r="N156" s="23" t="s">
        <v>23</v>
      </c>
      <c r="O156" s="23">
        <v>2.0</v>
      </c>
      <c r="P156" s="23" t="s">
        <v>23</v>
      </c>
      <c r="Q156" s="23" t="s">
        <v>23</v>
      </c>
      <c r="R156" s="23"/>
      <c r="S156" s="13" t="s">
        <v>23</v>
      </c>
      <c r="T156" s="13"/>
      <c r="U156" s="10" t="s">
        <v>23</v>
      </c>
    </row>
    <row r="157">
      <c r="A157" s="40" t="str">
        <f>HYPERLINK("https://docs.google.com/spreadsheets/d/1yi_HtvN4TS5uRWCCFJg5RFaoouiIIe8CAtY_XnqP6iM/edit?usp=sharing","Dolly Neely")</f>
        <v>Dolly Neely</v>
      </c>
      <c r="B157" s="34">
        <v>9.0</v>
      </c>
      <c r="C157" s="34">
        <v>6.0</v>
      </c>
      <c r="D157" s="34">
        <v>2.0</v>
      </c>
      <c r="E157" s="41">
        <v>3.0</v>
      </c>
      <c r="F157" s="33">
        <v>0.0143</v>
      </c>
      <c r="G157" s="34">
        <v>6.0</v>
      </c>
      <c r="H157" s="34" t="s">
        <v>23</v>
      </c>
      <c r="I157" s="34" t="s">
        <v>42</v>
      </c>
      <c r="J157" s="34" t="s">
        <v>60</v>
      </c>
      <c r="K157" s="34" t="s">
        <v>128</v>
      </c>
      <c r="L157" s="34">
        <v>2.0</v>
      </c>
      <c r="M157" s="34">
        <v>1.0</v>
      </c>
      <c r="N157" s="65"/>
      <c r="O157" s="34">
        <v>1.0</v>
      </c>
      <c r="P157" s="34" t="s">
        <v>23</v>
      </c>
      <c r="Q157" s="34" t="s">
        <v>23</v>
      </c>
      <c r="R157" s="34"/>
      <c r="S157" s="34" t="s">
        <v>23</v>
      </c>
      <c r="T157" s="34"/>
      <c r="U157" s="34" t="s">
        <v>23</v>
      </c>
    </row>
    <row r="158">
      <c r="A158" s="9" t="str">
        <f>HYPERLINK("https://docs.google.com/spreadsheets/d/1w0I5RoQ7uENhUG1ncC5V9B3b6BQapplx180-f9F9s4w/edit?usp=sharing","Daniel Lue")</f>
        <v>Daniel Lue</v>
      </c>
      <c r="B158" s="10">
        <v>6.0</v>
      </c>
      <c r="C158" s="10">
        <v>6.0</v>
      </c>
      <c r="D158" s="10">
        <v>3.0</v>
      </c>
      <c r="E158" s="11">
        <v>2.0</v>
      </c>
      <c r="F158" s="12">
        <v>0.0123</v>
      </c>
      <c r="G158" s="10">
        <v>9.0</v>
      </c>
      <c r="H158" s="10">
        <v>1.0</v>
      </c>
      <c r="I158" s="10" t="s">
        <v>42</v>
      </c>
      <c r="J158" s="10" t="s">
        <v>60</v>
      </c>
      <c r="K158" s="10" t="s">
        <v>137</v>
      </c>
      <c r="L158" s="13" t="s">
        <v>23</v>
      </c>
      <c r="M158" s="13">
        <v>1.0</v>
      </c>
      <c r="N158" s="13" t="s">
        <v>23</v>
      </c>
      <c r="O158" s="13">
        <v>2.0</v>
      </c>
      <c r="P158" s="10" t="s">
        <v>23</v>
      </c>
      <c r="Q158" s="10" t="s">
        <v>23</v>
      </c>
      <c r="R158" s="10"/>
      <c r="S158" s="10" t="s">
        <v>23</v>
      </c>
      <c r="T158" s="10"/>
      <c r="U158" s="10" t="s">
        <v>23</v>
      </c>
    </row>
    <row r="159">
      <c r="A159" s="9" t="str">
        <f>HYPERLINK("https://docs.google.com/spreadsheets/d/1ReMaq-fM8zzflOjjrMrgnxEsdZxPIPIJqiZ9cCLO3cE/edit?usp=sharing","Dana Lambert")</f>
        <v>Dana Lambert</v>
      </c>
      <c r="B159" s="10">
        <v>25.0</v>
      </c>
      <c r="C159" s="10">
        <v>6.0</v>
      </c>
      <c r="D159" s="10">
        <v>5.0</v>
      </c>
      <c r="E159" s="11">
        <v>1.2</v>
      </c>
      <c r="F159" s="12">
        <v>0.0138</v>
      </c>
      <c r="G159" s="10">
        <v>12.0</v>
      </c>
      <c r="H159" s="10">
        <v>1.0</v>
      </c>
      <c r="I159" s="10" t="s">
        <v>42</v>
      </c>
      <c r="J159" s="10" t="s">
        <v>60</v>
      </c>
      <c r="K159" s="10" t="s">
        <v>114</v>
      </c>
      <c r="L159" s="13">
        <v>4.0</v>
      </c>
      <c r="M159" s="13">
        <v>4.0</v>
      </c>
      <c r="N159" s="13" t="s">
        <v>23</v>
      </c>
      <c r="O159" s="13" t="s">
        <v>23</v>
      </c>
      <c r="P159" s="10" t="s">
        <v>23</v>
      </c>
      <c r="Q159" s="10" t="s">
        <v>23</v>
      </c>
      <c r="R159" s="10"/>
      <c r="S159" s="10" t="s">
        <v>23</v>
      </c>
      <c r="T159" s="10"/>
      <c r="U159" s="10" t="s">
        <v>64</v>
      </c>
    </row>
    <row r="160">
      <c r="A160" s="15" t="str">
        <f>HYPERLINK("https://docs.google.com/spreadsheets/d/1ZajpFwOHrMmupCcACeLhLTzPOwhTrjKRR1FJtUgeLww/edit?usp=sharing","Ciandre ""CeCe"" Taylor")</f>
        <v>Ciandre "CeCe" Taylor</v>
      </c>
      <c r="B160" s="13">
        <v>33.0</v>
      </c>
      <c r="C160" s="13">
        <v>6.0</v>
      </c>
      <c r="D160" s="13">
        <v>5.0</v>
      </c>
      <c r="E160" s="16">
        <v>1.2</v>
      </c>
      <c r="F160" s="17">
        <v>0.0138</v>
      </c>
      <c r="G160" s="13">
        <v>15.0</v>
      </c>
      <c r="H160" s="13">
        <v>2.0</v>
      </c>
      <c r="I160" s="13" t="s">
        <v>42</v>
      </c>
      <c r="J160" s="13" t="s">
        <v>60</v>
      </c>
      <c r="K160" s="13" t="s">
        <v>103</v>
      </c>
      <c r="L160" s="13">
        <v>2.0</v>
      </c>
      <c r="M160" s="13">
        <v>1.0</v>
      </c>
      <c r="N160" s="13" t="s">
        <v>23</v>
      </c>
      <c r="O160" s="13">
        <v>4.0</v>
      </c>
      <c r="P160" s="13" t="s">
        <v>23</v>
      </c>
      <c r="Q160" s="13" t="s">
        <v>23</v>
      </c>
      <c r="R160" s="13"/>
      <c r="S160" s="13" t="s">
        <v>23</v>
      </c>
      <c r="T160" s="13" t="s">
        <v>23</v>
      </c>
      <c r="U160" s="13" t="s">
        <v>23</v>
      </c>
    </row>
    <row r="161">
      <c r="A161" s="15" t="str">
        <f>HYPERLINK("https://docs.google.com/spreadsheets/d/1t379i2CYDM1ZVdZZy_Nj2m3ht6Sp4J68-xZ2v4-PIMo/edit?usp=sharing","Caleb Reynolds")</f>
        <v>Caleb Reynolds</v>
      </c>
      <c r="B161" s="13">
        <v>32.0</v>
      </c>
      <c r="C161" s="13">
        <v>6.0</v>
      </c>
      <c r="D161" s="13">
        <v>4.0</v>
      </c>
      <c r="E161" s="16">
        <v>1.5</v>
      </c>
      <c r="F161" s="17">
        <v>0.0121</v>
      </c>
      <c r="G161" s="13">
        <v>9.0</v>
      </c>
      <c r="H161" s="13">
        <v>1.0</v>
      </c>
      <c r="I161" s="13" t="s">
        <v>42</v>
      </c>
      <c r="J161" s="13" t="s">
        <v>60</v>
      </c>
      <c r="K161" s="13" t="s">
        <v>113</v>
      </c>
      <c r="L161" s="13">
        <v>4.0</v>
      </c>
      <c r="M161" s="13">
        <v>3.0</v>
      </c>
      <c r="N161" s="13" t="s">
        <v>23</v>
      </c>
      <c r="O161" s="13" t="s">
        <v>23</v>
      </c>
      <c r="P161" s="13" t="s">
        <v>23</v>
      </c>
      <c r="Q161" s="13" t="s">
        <v>23</v>
      </c>
      <c r="R161" s="13"/>
      <c r="S161" s="13" t="s">
        <v>23</v>
      </c>
      <c r="T161" s="13"/>
      <c r="U161" s="13" t="s">
        <v>92</v>
      </c>
    </row>
    <row r="162">
      <c r="A162" s="40" t="str">
        <f>HYPERLINK("https://docs.google.com/spreadsheets/d/1y7awzkkkaNlh7XKjc44AGriTvqB9H3pVz8cFLyIYdbo/edit?usp=sharing","Brice Johnston")</f>
        <v>Brice Johnston</v>
      </c>
      <c r="B162" s="34">
        <v>28.0</v>
      </c>
      <c r="C162" s="34">
        <v>6.0</v>
      </c>
      <c r="D162" s="34">
        <v>3.0</v>
      </c>
      <c r="E162" s="41">
        <v>2.0</v>
      </c>
      <c r="F162" s="42">
        <v>0.0131</v>
      </c>
      <c r="G162" s="34">
        <v>8.0</v>
      </c>
      <c r="H162" s="34" t="s">
        <v>23</v>
      </c>
      <c r="I162" s="34" t="s">
        <v>42</v>
      </c>
      <c r="J162" s="34" t="s">
        <v>60</v>
      </c>
      <c r="K162" s="34" t="s">
        <v>136</v>
      </c>
      <c r="L162" s="31">
        <v>2.0</v>
      </c>
      <c r="M162" s="31">
        <v>2.0</v>
      </c>
      <c r="N162" s="31" t="s">
        <v>23</v>
      </c>
      <c r="O162" s="31">
        <v>1.0</v>
      </c>
      <c r="P162" s="34" t="s">
        <v>23</v>
      </c>
      <c r="Q162" s="34" t="s">
        <v>23</v>
      </c>
      <c r="R162" s="34"/>
      <c r="S162" s="34" t="s">
        <v>23</v>
      </c>
      <c r="T162" s="34"/>
      <c r="U162" s="34" t="s">
        <v>23</v>
      </c>
    </row>
    <row r="163">
      <c r="A163" s="15" t="str">
        <f>HYPERLINK("https://docs.google.com/spreadsheets/d/1sWOJC8eB6rVdXdWiWMgfbfgw2325jIh1ODKxyaCmSGc/edit?usp=sharing","Brianna Varela")</f>
        <v>Brianna Varela</v>
      </c>
      <c r="B163" s="13">
        <v>11.0</v>
      </c>
      <c r="C163" s="13">
        <v>6.0</v>
      </c>
      <c r="D163" s="13">
        <v>3.0</v>
      </c>
      <c r="E163" s="16">
        <v>2.0</v>
      </c>
      <c r="F163" s="17">
        <v>0.0136</v>
      </c>
      <c r="G163" s="13">
        <v>8.0</v>
      </c>
      <c r="H163" s="13" t="s">
        <v>23</v>
      </c>
      <c r="I163" s="13" t="s">
        <v>42</v>
      </c>
      <c r="J163" s="13" t="s">
        <v>60</v>
      </c>
      <c r="K163" s="13" t="s">
        <v>136</v>
      </c>
      <c r="L163" s="13" t="s">
        <v>23</v>
      </c>
      <c r="M163" s="13">
        <v>1.0</v>
      </c>
      <c r="N163" s="13" t="s">
        <v>23</v>
      </c>
      <c r="O163" s="13">
        <v>2.0</v>
      </c>
      <c r="P163" s="13" t="s">
        <v>23</v>
      </c>
      <c r="Q163" s="13" t="s">
        <v>23</v>
      </c>
      <c r="R163" s="13"/>
      <c r="S163" s="13" t="s">
        <v>23</v>
      </c>
      <c r="T163" s="13" t="s">
        <v>23</v>
      </c>
      <c r="U163" s="13" t="s">
        <v>23</v>
      </c>
    </row>
    <row r="164">
      <c r="A164" s="15" t="str">
        <f>HYPERLINK("https://docs.google.com/spreadsheets/d/1Hf_PbZTXAuooCoiF7c3Bz80t5-zCjdWHF8wQ_HyodNs/edit?usp=sharing","Morgan Ricke")</f>
        <v>Morgan Ricke</v>
      </c>
      <c r="B164" s="13">
        <v>36.0</v>
      </c>
      <c r="C164" s="13">
        <v>6.0</v>
      </c>
      <c r="D164" s="13">
        <v>3.0</v>
      </c>
      <c r="E164" s="16">
        <v>2.0</v>
      </c>
      <c r="F164" s="17">
        <v>0.0153</v>
      </c>
      <c r="G164" s="13">
        <v>9.0</v>
      </c>
      <c r="H164" s="13">
        <v>1.0</v>
      </c>
      <c r="I164" s="13" t="s">
        <v>42</v>
      </c>
      <c r="J164" s="13" t="s">
        <v>60</v>
      </c>
      <c r="K164" s="13" t="s">
        <v>124</v>
      </c>
      <c r="L164" s="13">
        <v>1.0</v>
      </c>
      <c r="M164" s="13">
        <v>2.0</v>
      </c>
      <c r="N164" s="13" t="s">
        <v>23</v>
      </c>
      <c r="O164" s="13">
        <v>1.0</v>
      </c>
      <c r="P164" s="13" t="s">
        <v>23</v>
      </c>
      <c r="Q164" s="13" t="s">
        <v>23</v>
      </c>
      <c r="R164" s="13"/>
      <c r="S164" s="13" t="s">
        <v>23</v>
      </c>
      <c r="T164" s="13">
        <v>1.0</v>
      </c>
      <c r="U164" s="13" t="s">
        <v>23</v>
      </c>
    </row>
    <row r="165">
      <c r="A165" s="15" t="str">
        <f>HYPERLINK("https://docs.google.com/spreadsheets/d/1d8Hzm_QCJnDef8NF_dVYBZLjLjFI3Fl8Yt14m8Zhn8Y/edit?usp=sharing","Willard Smith")</f>
        <v>Willard Smith</v>
      </c>
      <c r="B165" s="13">
        <v>10.0</v>
      </c>
      <c r="C165" s="13">
        <v>5.0</v>
      </c>
      <c r="D165" s="13">
        <v>5.0</v>
      </c>
      <c r="E165" s="16">
        <v>1.0</v>
      </c>
      <c r="F165" s="17">
        <v>0.0117</v>
      </c>
      <c r="G165" s="13">
        <v>12.0</v>
      </c>
      <c r="H165" s="13">
        <v>2.0</v>
      </c>
      <c r="I165" s="13" t="s">
        <v>42</v>
      </c>
      <c r="J165" s="13" t="s">
        <v>60</v>
      </c>
      <c r="K165" s="13" t="s">
        <v>111</v>
      </c>
      <c r="L165" s="13">
        <v>2.0</v>
      </c>
      <c r="M165" s="13">
        <v>4.0</v>
      </c>
      <c r="N165" s="13" t="s">
        <v>23</v>
      </c>
      <c r="O165" s="13">
        <v>1.0</v>
      </c>
      <c r="P165" s="13" t="s">
        <v>23</v>
      </c>
      <c r="Q165" s="13" t="s">
        <v>23</v>
      </c>
      <c r="R165" s="13"/>
      <c r="S165" s="13" t="s">
        <v>23</v>
      </c>
      <c r="T165" s="13" t="s">
        <v>23</v>
      </c>
      <c r="U165" s="13" t="s">
        <v>23</v>
      </c>
    </row>
    <row r="166">
      <c r="A166" s="9" t="str">
        <f>HYPERLINK("https://docs.google.com/spreadsheets/d/1OvIOVR4AMBMcafVt9o6KEur-eEFhew1kw_KUv3DV3Xs/edit?usp=sharing","Semhar Tadesse")</f>
        <v>Semhar Tadesse</v>
      </c>
      <c r="B166" s="10">
        <v>23.0</v>
      </c>
      <c r="C166" s="10">
        <v>5.0</v>
      </c>
      <c r="D166" s="10">
        <v>3.0</v>
      </c>
      <c r="E166" s="11">
        <v>1.67</v>
      </c>
      <c r="F166" s="12">
        <v>0.0125</v>
      </c>
      <c r="G166" s="10">
        <v>6.0</v>
      </c>
      <c r="H166" s="10">
        <v>1.0</v>
      </c>
      <c r="I166" s="10" t="s">
        <v>42</v>
      </c>
      <c r="J166" s="10" t="s">
        <v>60</v>
      </c>
      <c r="K166" s="10" t="s">
        <v>138</v>
      </c>
      <c r="L166" s="13">
        <v>1.0</v>
      </c>
      <c r="M166" s="13" t="s">
        <v>23</v>
      </c>
      <c r="N166" s="13" t="s">
        <v>23</v>
      </c>
      <c r="O166" s="13">
        <v>1.0</v>
      </c>
      <c r="P166" s="13" t="s">
        <v>23</v>
      </c>
      <c r="Q166" s="13">
        <v>1.0</v>
      </c>
      <c r="R166" s="13"/>
      <c r="S166" s="10" t="s">
        <v>23</v>
      </c>
      <c r="T166" s="10"/>
      <c r="U166" s="10" t="s">
        <v>23</v>
      </c>
    </row>
    <row r="167">
      <c r="A167" s="9" t="str">
        <f>HYPERLINK("https://docs.google.com/spreadsheets/d/1X-5lK1sJCBpvE08rC1VdSsGvayqyrC62cK7W45Q4XX8/edit?usp=sharing","Rachel Foulger")</f>
        <v>Rachel Foulger</v>
      </c>
      <c r="B167" s="10">
        <v>27.0</v>
      </c>
      <c r="C167" s="10">
        <v>5.0</v>
      </c>
      <c r="D167" s="10">
        <v>3.0</v>
      </c>
      <c r="E167" s="11">
        <v>1.67</v>
      </c>
      <c r="F167" s="12">
        <v>0.0115</v>
      </c>
      <c r="G167" s="10">
        <v>7.0</v>
      </c>
      <c r="H167" s="10">
        <v>1.0</v>
      </c>
      <c r="I167" s="10" t="s">
        <v>42</v>
      </c>
      <c r="J167" s="10" t="s">
        <v>60</v>
      </c>
      <c r="K167" s="10" t="s">
        <v>124</v>
      </c>
      <c r="L167" s="13" t="s">
        <v>23</v>
      </c>
      <c r="M167" s="13" t="s">
        <v>23</v>
      </c>
      <c r="N167" s="13" t="s">
        <v>23</v>
      </c>
      <c r="O167" s="13">
        <v>2.0</v>
      </c>
      <c r="P167" s="13" t="s">
        <v>23</v>
      </c>
      <c r="Q167" s="13">
        <v>1.0</v>
      </c>
      <c r="R167" s="13"/>
      <c r="S167" s="10" t="s">
        <v>23</v>
      </c>
      <c r="T167" s="10"/>
      <c r="U167" s="10" t="s">
        <v>23</v>
      </c>
    </row>
    <row r="168">
      <c r="A168" s="9" t="str">
        <f>HYPERLINK("https://docs.google.com/spreadsheets/d/1nRsx7fR5xbH1eAbI_vBDvqXOgh7mXIwmZNhzrVL6oGM/edit?usp=sharing","Peter Harkey")</f>
        <v>Peter Harkey</v>
      </c>
      <c r="B168" s="10">
        <v>4.0</v>
      </c>
      <c r="C168" s="10">
        <v>5.0</v>
      </c>
      <c r="D168" s="10">
        <v>1.0</v>
      </c>
      <c r="E168" s="11">
        <v>5.0</v>
      </c>
      <c r="F168" s="12">
        <v>0.0105</v>
      </c>
      <c r="G168" s="10">
        <v>3.0</v>
      </c>
      <c r="H168" s="10" t="s">
        <v>23</v>
      </c>
      <c r="I168" s="10" t="s">
        <v>42</v>
      </c>
      <c r="J168" s="10" t="s">
        <v>60</v>
      </c>
      <c r="K168" s="10" t="s">
        <v>140</v>
      </c>
      <c r="L168" s="13" t="s">
        <v>23</v>
      </c>
      <c r="M168" s="13" t="s">
        <v>23</v>
      </c>
      <c r="N168" s="13" t="s">
        <v>23</v>
      </c>
      <c r="O168" s="13">
        <v>1.0</v>
      </c>
      <c r="P168" s="10" t="s">
        <v>23</v>
      </c>
      <c r="Q168" s="10" t="s">
        <v>23</v>
      </c>
      <c r="R168" s="10"/>
      <c r="S168" s="10" t="s">
        <v>23</v>
      </c>
      <c r="T168" s="10"/>
      <c r="U168" s="10" t="s">
        <v>23</v>
      </c>
    </row>
    <row r="169">
      <c r="A169" s="9" t="str">
        <f>HYPERLINK("https://docs.google.com/spreadsheets/d/1nRsx7fR5xbH1eAbI_vBDvqXOgh7mXIwmZNhzrVL6oGM/edit?usp=sharing","Patricia Jackson")</f>
        <v>Patricia Jackson</v>
      </c>
      <c r="B169" s="10">
        <v>4.0</v>
      </c>
      <c r="C169" s="10">
        <v>5.0</v>
      </c>
      <c r="D169" s="10">
        <v>2.0</v>
      </c>
      <c r="E169" s="11">
        <v>2.5</v>
      </c>
      <c r="F169" s="12">
        <v>0.0105</v>
      </c>
      <c r="G169" s="10">
        <v>6.0</v>
      </c>
      <c r="H169" s="10" t="s">
        <v>23</v>
      </c>
      <c r="I169" s="10" t="s">
        <v>42</v>
      </c>
      <c r="J169" s="10" t="s">
        <v>60</v>
      </c>
      <c r="K169" s="10" t="s">
        <v>139</v>
      </c>
      <c r="L169" s="13" t="s">
        <v>23</v>
      </c>
      <c r="M169" s="13" t="s">
        <v>23</v>
      </c>
      <c r="N169" s="13" t="s">
        <v>23</v>
      </c>
      <c r="O169" s="13">
        <v>2.0</v>
      </c>
      <c r="P169" s="10" t="s">
        <v>23</v>
      </c>
      <c r="Q169" s="10" t="s">
        <v>23</v>
      </c>
      <c r="R169" s="10"/>
      <c r="S169" s="10" t="s">
        <v>23</v>
      </c>
      <c r="T169" s="10"/>
      <c r="U169" s="10" t="s">
        <v>23</v>
      </c>
    </row>
    <row r="170">
      <c r="A170" s="15" t="str">
        <f>HYPERLINK("https://docs.google.com/spreadsheets/d/1VEbyebFdBtPJKQC_U2uGrW6_v1fn6Hsoz3YYLyCxHR0/edit?usp=sharing","Misty Giles")</f>
        <v>Misty Giles</v>
      </c>
      <c r="B170" s="13">
        <v>12.0</v>
      </c>
      <c r="C170" s="13">
        <v>5.0</v>
      </c>
      <c r="D170" s="13">
        <v>3.0</v>
      </c>
      <c r="E170" s="16">
        <v>1.67</v>
      </c>
      <c r="F170" s="17">
        <v>0.1414</v>
      </c>
      <c r="G170" s="13">
        <v>8.0</v>
      </c>
      <c r="H170" s="13">
        <v>1.0</v>
      </c>
      <c r="I170" s="13" t="s">
        <v>42</v>
      </c>
      <c r="J170" s="13" t="s">
        <v>60</v>
      </c>
      <c r="K170" s="13" t="s">
        <v>137</v>
      </c>
      <c r="L170" s="13">
        <v>2.0</v>
      </c>
      <c r="M170" s="13">
        <v>2.0</v>
      </c>
      <c r="N170" s="13" t="s">
        <v>23</v>
      </c>
      <c r="O170" s="13">
        <v>1.0</v>
      </c>
      <c r="P170" s="13">
        <v>1.0</v>
      </c>
      <c r="Q170" s="13" t="s">
        <v>23</v>
      </c>
      <c r="R170" s="13"/>
      <c r="S170" s="13" t="s">
        <v>23</v>
      </c>
      <c r="T170" s="13" t="s">
        <v>23</v>
      </c>
      <c r="U170" s="13" t="s">
        <v>23</v>
      </c>
    </row>
    <row r="171">
      <c r="A171" s="15" t="str">
        <f>HYPERLINK("https://docs.google.com/spreadsheets/d/1VEbyebFdBtPJKQC_U2uGrW6_v1fn6Hsoz3YYLyCxHR0/edit?usp=sharing","Melinda Hyder")</f>
        <v>Melinda Hyder</v>
      </c>
      <c r="B171" s="13">
        <v>12.0</v>
      </c>
      <c r="C171" s="13">
        <v>5.0</v>
      </c>
      <c r="D171" s="13">
        <v>2.0</v>
      </c>
      <c r="E171" s="16">
        <v>2.5</v>
      </c>
      <c r="F171" s="17">
        <v>0.1042</v>
      </c>
      <c r="G171" s="13">
        <v>6.0</v>
      </c>
      <c r="H171" s="13" t="s">
        <v>23</v>
      </c>
      <c r="I171" s="13" t="s">
        <v>42</v>
      </c>
      <c r="J171" s="13" t="s">
        <v>60</v>
      </c>
      <c r="K171" s="13" t="s">
        <v>139</v>
      </c>
      <c r="L171" s="13">
        <v>1.0</v>
      </c>
      <c r="M171" s="13" t="s">
        <v>23</v>
      </c>
      <c r="N171" s="13" t="s">
        <v>23</v>
      </c>
      <c r="O171" s="13">
        <v>2.0</v>
      </c>
      <c r="P171" s="13" t="s">
        <v>23</v>
      </c>
      <c r="Q171" s="13" t="s">
        <v>23</v>
      </c>
      <c r="R171" s="13"/>
      <c r="S171" s="13" t="s">
        <v>23</v>
      </c>
      <c r="T171" s="13" t="s">
        <v>23</v>
      </c>
      <c r="U171" s="13" t="s">
        <v>23</v>
      </c>
    </row>
    <row r="172">
      <c r="A172" s="9" t="str">
        <f>HYPERLINK("https://docs.google.com/spreadsheets/d/1X-5lK1sJCBpvE08rC1VdSsGvayqyrC62cK7W45Q4XX8/edit?usp=sharing","Marissa Peterson")</f>
        <v>Marissa Peterson</v>
      </c>
      <c r="B172" s="10">
        <v>27.0</v>
      </c>
      <c r="C172" s="10">
        <v>5.0</v>
      </c>
      <c r="D172" s="10">
        <v>4.0</v>
      </c>
      <c r="E172" s="11">
        <v>1.25</v>
      </c>
      <c r="F172" s="12">
        <v>0.0115</v>
      </c>
      <c r="G172" s="10">
        <v>9.0</v>
      </c>
      <c r="H172" s="10">
        <v>2.0</v>
      </c>
      <c r="I172" s="10" t="s">
        <v>42</v>
      </c>
      <c r="J172" s="10" t="s">
        <v>60</v>
      </c>
      <c r="K172" s="10" t="s">
        <v>96</v>
      </c>
      <c r="L172" s="13" t="s">
        <v>23</v>
      </c>
      <c r="M172" s="13" t="s">
        <v>23</v>
      </c>
      <c r="N172" s="13" t="s">
        <v>23</v>
      </c>
      <c r="O172" s="13">
        <v>1.0</v>
      </c>
      <c r="P172" s="13" t="s">
        <v>23</v>
      </c>
      <c r="Q172" s="13">
        <v>1.0</v>
      </c>
      <c r="R172" s="13"/>
      <c r="S172" s="10" t="s">
        <v>23</v>
      </c>
      <c r="T172" s="10"/>
      <c r="U172" s="10" t="s">
        <v>23</v>
      </c>
    </row>
    <row r="173">
      <c r="A173" s="9" t="str">
        <f>HYPERLINK("https://docs.google.com/spreadsheets/d/1hg_GT4r2smQsgkwEYBqHOukVavnNSyncsyfceWDpOho/edit?usp=sharing","Jenna Morasca")</f>
        <v>Jenna Morasca</v>
      </c>
      <c r="B173" s="10">
        <v>8.0</v>
      </c>
      <c r="C173" s="10">
        <v>5.0</v>
      </c>
      <c r="D173" s="10">
        <v>3.0</v>
      </c>
      <c r="E173" s="11">
        <v>1.67</v>
      </c>
      <c r="F173" s="12">
        <v>0.0099</v>
      </c>
      <c r="G173" s="10">
        <v>9.0</v>
      </c>
      <c r="H173" s="10" t="s">
        <v>23</v>
      </c>
      <c r="I173" s="10" t="s">
        <v>42</v>
      </c>
      <c r="J173" s="10" t="s">
        <v>60</v>
      </c>
      <c r="K173" s="10" t="s">
        <v>136</v>
      </c>
      <c r="L173" s="13">
        <v>2.0</v>
      </c>
      <c r="M173" s="13">
        <v>2.0</v>
      </c>
      <c r="N173" s="13" t="s">
        <v>23</v>
      </c>
      <c r="O173" s="13" t="s">
        <v>23</v>
      </c>
      <c r="P173" s="10" t="s">
        <v>23</v>
      </c>
      <c r="Q173" s="10" t="s">
        <v>23</v>
      </c>
      <c r="R173" s="10"/>
      <c r="S173" s="10" t="s">
        <v>23</v>
      </c>
      <c r="T173" s="10"/>
      <c r="U173" s="10" t="s">
        <v>64</v>
      </c>
    </row>
    <row r="174">
      <c r="A174" s="9" t="str">
        <f>HYPERLINK("https://docs.google.com/spreadsheets/d/1OvIOVR4AMBMcafVt9o6KEur-eEFhew1kw_KUv3DV3Xs/edit?usp=sharing","Elyse Umemoto")</f>
        <v>Elyse Umemoto</v>
      </c>
      <c r="B174" s="10">
        <v>23.0</v>
      </c>
      <c r="C174" s="10">
        <v>5.0</v>
      </c>
      <c r="D174" s="10">
        <v>6.0</v>
      </c>
      <c r="E174" s="11">
        <v>0.83</v>
      </c>
      <c r="F174" s="12">
        <v>0.0125</v>
      </c>
      <c r="G174" s="10">
        <v>15.0</v>
      </c>
      <c r="H174" s="10">
        <v>3.0</v>
      </c>
      <c r="I174" s="10" t="s">
        <v>42</v>
      </c>
      <c r="J174" s="10" t="s">
        <v>60</v>
      </c>
      <c r="K174" s="10" t="s">
        <v>113</v>
      </c>
      <c r="L174" s="13">
        <v>3.0</v>
      </c>
      <c r="M174" s="13">
        <v>2.0</v>
      </c>
      <c r="N174" s="13" t="s">
        <v>23</v>
      </c>
      <c r="O174" s="13">
        <v>3.0</v>
      </c>
      <c r="P174" s="13" t="s">
        <v>23</v>
      </c>
      <c r="Q174" s="13">
        <v>1.0</v>
      </c>
      <c r="R174" s="13"/>
      <c r="S174" s="10" t="s">
        <v>23</v>
      </c>
      <c r="T174" s="10"/>
      <c r="U174" s="10" t="s">
        <v>23</v>
      </c>
    </row>
    <row r="175">
      <c r="A175" s="15" t="str">
        <f>HYPERLINK("https://docs.google.com/spreadsheets/d/1VEbyebFdBtPJKQC_U2uGrW6_v1fn6Hsoz3YYLyCxHR0/edit?usp=sharing","Bobby Mason")</f>
        <v>Bobby Mason</v>
      </c>
      <c r="B175" s="13">
        <v>12.0</v>
      </c>
      <c r="C175" s="13">
        <v>5.0</v>
      </c>
      <c r="D175" s="13">
        <v>5.0</v>
      </c>
      <c r="E175" s="16">
        <v>1.0</v>
      </c>
      <c r="F175" s="17">
        <v>0.0918</v>
      </c>
      <c r="G175" s="13">
        <v>14.0</v>
      </c>
      <c r="H175" s="13">
        <v>1.0</v>
      </c>
      <c r="I175" s="13" t="s">
        <v>42</v>
      </c>
      <c r="J175" s="13" t="s">
        <v>60</v>
      </c>
      <c r="K175" s="13" t="s">
        <v>106</v>
      </c>
      <c r="L175" s="13">
        <v>3.0</v>
      </c>
      <c r="M175" s="13">
        <v>3.0</v>
      </c>
      <c r="N175" s="13" t="s">
        <v>23</v>
      </c>
      <c r="O175" s="13">
        <v>2.0</v>
      </c>
      <c r="P175" s="13" t="s">
        <v>23</v>
      </c>
      <c r="Q175" s="13" t="s">
        <v>23</v>
      </c>
      <c r="R175" s="13"/>
      <c r="S175" s="13" t="s">
        <v>23</v>
      </c>
      <c r="T175" s="13" t="s">
        <v>23</v>
      </c>
      <c r="U175" s="13" t="s">
        <v>23</v>
      </c>
    </row>
    <row r="176">
      <c r="A176" s="15" t="str">
        <f>HYPERLINK("https://docs.google.com/spreadsheets/d/1sWOJC8eB6rVdXdWiWMgfbfgw2325jIh1ODKxyaCmSGc/edit?usp=sharing","Blake Towsley")</f>
        <v>Blake Towsley</v>
      </c>
      <c r="B176" s="13">
        <v>11.0</v>
      </c>
      <c r="C176" s="13">
        <v>5.0</v>
      </c>
      <c r="D176" s="13">
        <v>5.0</v>
      </c>
      <c r="E176" s="16">
        <v>1.0</v>
      </c>
      <c r="F176" s="17">
        <v>0.0113</v>
      </c>
      <c r="G176" s="13">
        <v>14.0</v>
      </c>
      <c r="H176" s="13">
        <v>1.0</v>
      </c>
      <c r="I176" s="13" t="s">
        <v>42</v>
      </c>
      <c r="J176" s="13" t="s">
        <v>60</v>
      </c>
      <c r="K176" s="13" t="s">
        <v>114</v>
      </c>
      <c r="L176" s="13">
        <v>4.0</v>
      </c>
      <c r="M176" s="13">
        <v>3.0</v>
      </c>
      <c r="N176" s="13" t="s">
        <v>23</v>
      </c>
      <c r="O176" s="13">
        <v>2.0</v>
      </c>
      <c r="P176" s="13" t="s">
        <v>23</v>
      </c>
      <c r="Q176" s="13" t="s">
        <v>23</v>
      </c>
      <c r="R176" s="13"/>
      <c r="S176" s="13" t="s">
        <v>23</v>
      </c>
      <c r="T176" s="13" t="s">
        <v>23</v>
      </c>
      <c r="U176" s="13" t="s">
        <v>23</v>
      </c>
    </row>
    <row r="177">
      <c r="A177" s="15" t="str">
        <f>HYPERLINK("https://docs.google.com/spreadsheets/d/1Hf_PbZTXAuooCoiF7c3Bz80t5-zCjdWHF8wQ_HyodNs/edit?usp=sharing","Brendan Shapiro")</f>
        <v>Brendan Shapiro</v>
      </c>
      <c r="B177" s="13">
        <v>36.0</v>
      </c>
      <c r="C177" s="13">
        <v>5.0</v>
      </c>
      <c r="D177" s="13">
        <v>4.0</v>
      </c>
      <c r="E177" s="16">
        <v>1.25</v>
      </c>
      <c r="F177" s="17">
        <v>0.0127</v>
      </c>
      <c r="G177" s="13">
        <v>12.0</v>
      </c>
      <c r="H177" s="13" t="s">
        <v>23</v>
      </c>
      <c r="I177" s="13" t="s">
        <v>42</v>
      </c>
      <c r="J177" s="13" t="s">
        <v>60</v>
      </c>
      <c r="K177" s="13" t="s">
        <v>96</v>
      </c>
      <c r="L177" s="13">
        <v>2.0</v>
      </c>
      <c r="M177" s="13">
        <v>1.0</v>
      </c>
      <c r="N177" s="13" t="s">
        <v>23</v>
      </c>
      <c r="O177" s="13">
        <v>3.0</v>
      </c>
      <c r="P177" s="13" t="s">
        <v>23</v>
      </c>
      <c r="Q177" s="13" t="s">
        <v>23</v>
      </c>
      <c r="R177" s="13"/>
      <c r="S177" s="13" t="s">
        <v>23</v>
      </c>
      <c r="T177" s="13" t="s">
        <v>23</v>
      </c>
      <c r="U177" s="13" t="s">
        <v>23</v>
      </c>
    </row>
    <row r="178">
      <c r="A178" s="19" t="str">
        <f>HYPERLINK("https://docs.google.com/spreadsheets/d/1TniiK35-AGMNddj9lkge_tT9QfOGXMfX2thnTv8npTo/edit?usp=sharing","Tanya Vance")</f>
        <v>Tanya Vance</v>
      </c>
      <c r="B178" s="20">
        <v>5.0</v>
      </c>
      <c r="C178" s="20">
        <v>4.0</v>
      </c>
      <c r="D178" s="20">
        <v>2.0</v>
      </c>
      <c r="E178" s="26">
        <v>2.0</v>
      </c>
      <c r="F178" s="14">
        <v>0.0083</v>
      </c>
      <c r="G178" s="21">
        <v>6.0</v>
      </c>
      <c r="H178" s="21" t="s">
        <v>23</v>
      </c>
      <c r="I178" s="10" t="s">
        <v>42</v>
      </c>
      <c r="J178" s="20" t="s">
        <v>60</v>
      </c>
      <c r="K178" s="20" t="s">
        <v>139</v>
      </c>
      <c r="L178" s="13" t="s">
        <v>23</v>
      </c>
      <c r="M178" s="13" t="s">
        <v>23</v>
      </c>
      <c r="N178" s="13" t="s">
        <v>23</v>
      </c>
      <c r="O178" s="13">
        <v>2.0</v>
      </c>
      <c r="P178" s="10" t="s">
        <v>23</v>
      </c>
      <c r="Q178" s="10" t="s">
        <v>23</v>
      </c>
      <c r="R178" s="10"/>
      <c r="S178" s="10" t="s">
        <v>23</v>
      </c>
      <c r="T178" s="10"/>
      <c r="U178" s="10" t="s">
        <v>23</v>
      </c>
    </row>
    <row r="179">
      <c r="A179" s="9" t="str">
        <f>HYPERLINK("https://docs.google.com/spreadsheets/d/1w0I5RoQ7uENhUG1ncC5V9B3b6BQapplx180-f9F9s4w/edit?usp=sharing","Ryan Aiken")</f>
        <v>Ryan Aiken</v>
      </c>
      <c r="B179" s="10">
        <v>6.0</v>
      </c>
      <c r="C179" s="10">
        <v>4.0</v>
      </c>
      <c r="D179" s="10">
        <v>1.0</v>
      </c>
      <c r="E179" s="11">
        <v>4.0</v>
      </c>
      <c r="F179" s="12">
        <v>0.0082</v>
      </c>
      <c r="G179" s="10">
        <v>3.0</v>
      </c>
      <c r="H179" s="10" t="s">
        <v>23</v>
      </c>
      <c r="I179" s="10" t="s">
        <v>42</v>
      </c>
      <c r="J179" s="10" t="s">
        <v>60</v>
      </c>
      <c r="K179" s="10" t="s">
        <v>140</v>
      </c>
      <c r="L179" s="13" t="s">
        <v>23</v>
      </c>
      <c r="M179" s="13" t="s">
        <v>23</v>
      </c>
      <c r="N179" s="13" t="s">
        <v>23</v>
      </c>
      <c r="O179" s="13">
        <v>1.0</v>
      </c>
      <c r="P179" s="10" t="s">
        <v>23</v>
      </c>
      <c r="Q179" s="10" t="s">
        <v>23</v>
      </c>
      <c r="R179" s="10"/>
      <c r="S179" s="10" t="s">
        <v>23</v>
      </c>
      <c r="T179" s="10"/>
      <c r="U179" s="10" t="s">
        <v>23</v>
      </c>
    </row>
    <row r="180">
      <c r="A180" s="15" t="str">
        <f>HYPERLINK("https://docs.google.com/spreadsheets/d/1VEbyebFdBtPJKQC_U2uGrW6_v1fn6Hsoz3YYLyCxHR0/edit?usp=sharing","Ruth-Marie Milliman")</f>
        <v>Ruth-Marie Milliman</v>
      </c>
      <c r="B180" s="13">
        <v>12.0</v>
      </c>
      <c r="C180" s="13">
        <v>4.0</v>
      </c>
      <c r="D180" s="13">
        <v>4.0</v>
      </c>
      <c r="E180" s="16">
        <v>1.0</v>
      </c>
      <c r="F180" s="17">
        <v>0.1613</v>
      </c>
      <c r="G180" s="13">
        <v>11.0</v>
      </c>
      <c r="H180" s="13">
        <v>1.0</v>
      </c>
      <c r="I180" s="13" t="s">
        <v>42</v>
      </c>
      <c r="J180" s="13" t="s">
        <v>60</v>
      </c>
      <c r="K180" s="13" t="s">
        <v>107</v>
      </c>
      <c r="L180" s="13">
        <v>3.0</v>
      </c>
      <c r="M180" s="13">
        <v>1.0</v>
      </c>
      <c r="N180" s="13" t="s">
        <v>23</v>
      </c>
      <c r="O180" s="13">
        <v>3.0</v>
      </c>
      <c r="P180" s="13" t="s">
        <v>23</v>
      </c>
      <c r="Q180" s="13" t="s">
        <v>23</v>
      </c>
      <c r="R180" s="13"/>
      <c r="S180" s="13" t="s">
        <v>23</v>
      </c>
      <c r="T180" s="13" t="s">
        <v>23</v>
      </c>
      <c r="U180" s="13" t="s">
        <v>23</v>
      </c>
    </row>
    <row r="181">
      <c r="A181" s="9" t="str">
        <f>HYPERLINK("https://docs.google.com/spreadsheets/d/1hg_GT4r2smQsgkwEYBqHOukVavnNSyncsyfceWDpOho/edit?usp=sharing","Rudy Boesch")</f>
        <v>Rudy Boesch</v>
      </c>
      <c r="B181" s="10">
        <v>8.0</v>
      </c>
      <c r="C181" s="10">
        <v>4.0</v>
      </c>
      <c r="D181" s="10">
        <v>2.0</v>
      </c>
      <c r="E181" s="11">
        <v>2.0</v>
      </c>
      <c r="F181" s="12">
        <v>0.0079</v>
      </c>
      <c r="G181" s="10">
        <v>6.0</v>
      </c>
      <c r="H181" s="10" t="s">
        <v>23</v>
      </c>
      <c r="I181" s="10" t="s">
        <v>42</v>
      </c>
      <c r="J181" s="10" t="s">
        <v>60</v>
      </c>
      <c r="K181" s="10" t="s">
        <v>128</v>
      </c>
      <c r="L181" s="13">
        <v>1.0</v>
      </c>
      <c r="M181" s="13" t="s">
        <v>23</v>
      </c>
      <c r="N181" s="13" t="s">
        <v>23</v>
      </c>
      <c r="O181" s="13">
        <v>2.0</v>
      </c>
      <c r="P181" s="10" t="s">
        <v>23</v>
      </c>
      <c r="Q181" s="10" t="s">
        <v>23</v>
      </c>
      <c r="R181" s="10"/>
      <c r="S181" s="10" t="s">
        <v>23</v>
      </c>
      <c r="T181" s="10"/>
      <c r="U181" s="10" t="s">
        <v>23</v>
      </c>
    </row>
    <row r="182">
      <c r="A182" s="9" t="str">
        <f>HYPERLINK("https://docs.google.com/spreadsheets/d/1iNFGyKFcJm-tPp7Dg94yi7mHCDbJssmAD_PiaDM_tAE/edit?usp=sharing","Nadiya Anderson")</f>
        <v>Nadiya Anderson</v>
      </c>
      <c r="B182" s="10">
        <v>29.0</v>
      </c>
      <c r="C182" s="10">
        <v>4.0</v>
      </c>
      <c r="D182" s="10">
        <v>1.0</v>
      </c>
      <c r="E182" s="11">
        <v>4.0</v>
      </c>
      <c r="F182" s="12">
        <v>0.009</v>
      </c>
      <c r="G182" s="10">
        <v>3.0</v>
      </c>
      <c r="H182" s="10" t="s">
        <v>23</v>
      </c>
      <c r="I182" s="10" t="s">
        <v>42</v>
      </c>
      <c r="J182" s="10" t="s">
        <v>60</v>
      </c>
      <c r="K182" s="10" t="s">
        <v>138</v>
      </c>
      <c r="L182" s="23" t="s">
        <v>23</v>
      </c>
      <c r="M182" s="23" t="s">
        <v>23</v>
      </c>
      <c r="N182" s="23" t="s">
        <v>23</v>
      </c>
      <c r="O182" s="23">
        <v>1.0</v>
      </c>
      <c r="P182" s="23" t="s">
        <v>23</v>
      </c>
      <c r="Q182" s="23" t="s">
        <v>23</v>
      </c>
      <c r="R182" s="23"/>
      <c r="S182" s="13" t="s">
        <v>23</v>
      </c>
      <c r="T182" s="13"/>
      <c r="U182" s="10" t="s">
        <v>23</v>
      </c>
    </row>
    <row r="183">
      <c r="A183" s="9" t="str">
        <f>HYPERLINK("https://docs.google.com/spreadsheets/d/18wmIvmUS3SeZNSPQeUzr6sPl9GBYpVSlOaFR_kJCmKo/edit?usp=sharing","Kel Gleason")</f>
        <v>Kel Gleason</v>
      </c>
      <c r="B183" s="10">
        <v>2.0</v>
      </c>
      <c r="C183" s="10">
        <v>4.0</v>
      </c>
      <c r="D183" s="10">
        <v>2.0</v>
      </c>
      <c r="E183" s="11">
        <v>2.0</v>
      </c>
      <c r="F183" s="12">
        <v>0.0071</v>
      </c>
      <c r="G183" s="10">
        <v>6.0</v>
      </c>
      <c r="H183" s="10">
        <v>1.0</v>
      </c>
      <c r="I183" s="10" t="s">
        <v>42</v>
      </c>
      <c r="J183" s="10" t="s">
        <v>60</v>
      </c>
      <c r="K183" s="10" t="s">
        <v>139</v>
      </c>
      <c r="L183" s="13">
        <v>2.0</v>
      </c>
      <c r="M183" s="13">
        <v>1.0</v>
      </c>
      <c r="N183" s="13" t="s">
        <v>23</v>
      </c>
      <c r="O183" s="13">
        <v>1.0</v>
      </c>
      <c r="P183" s="10" t="s">
        <v>23</v>
      </c>
      <c r="Q183" s="10" t="s">
        <v>23</v>
      </c>
      <c r="R183" s="10"/>
      <c r="S183" s="10" t="s">
        <v>23</v>
      </c>
      <c r="T183" s="10"/>
      <c r="U183" s="10" t="s">
        <v>23</v>
      </c>
    </row>
    <row r="184">
      <c r="A184" s="9" t="str">
        <f>HYPERLINK("https://docs.google.com/spreadsheets/d/1LR80O0PvsOvoTuN5gHQd3Rls4b1rZmJd7EZ_DR2oRHs/edit?usp=sharing","Julia Landauer")</f>
        <v>Julia Landauer</v>
      </c>
      <c r="B184" s="10">
        <v>26.0</v>
      </c>
      <c r="C184" s="10">
        <v>4.0</v>
      </c>
      <c r="D184" s="10">
        <v>7.0</v>
      </c>
      <c r="E184" s="11">
        <v>0.57</v>
      </c>
      <c r="F184" s="12">
        <v>0.0097</v>
      </c>
      <c r="G184" s="10">
        <v>19.0</v>
      </c>
      <c r="H184" s="10">
        <v>3.0</v>
      </c>
      <c r="I184" s="10" t="s">
        <v>42</v>
      </c>
      <c r="J184" s="10" t="s">
        <v>60</v>
      </c>
      <c r="K184" s="10" t="s">
        <v>100</v>
      </c>
      <c r="L184" s="13" t="s">
        <v>23</v>
      </c>
      <c r="M184" s="13">
        <v>2.0</v>
      </c>
      <c r="N184" s="13" t="s">
        <v>23</v>
      </c>
      <c r="O184" s="13">
        <v>5.0</v>
      </c>
      <c r="P184" s="10" t="s">
        <v>23</v>
      </c>
      <c r="Q184" s="10" t="s">
        <v>23</v>
      </c>
      <c r="R184" s="10"/>
      <c r="S184" s="10" t="s">
        <v>23</v>
      </c>
      <c r="T184" s="10"/>
      <c r="U184" s="10" t="s">
        <v>23</v>
      </c>
    </row>
    <row r="185">
      <c r="A185" s="9" t="str">
        <f>HYPERLINK("https://docs.google.com/spreadsheets/d/1w0I5RoQ7uENhUG1ncC5V9B3b6BQapplx180-f9F9s4w/edit?usp=sharing","Joanna Ward")</f>
        <v>Joanna Ward</v>
      </c>
      <c r="B185" s="10">
        <v>6.0</v>
      </c>
      <c r="C185" s="10">
        <v>4.0</v>
      </c>
      <c r="D185" s="10">
        <v>4.0</v>
      </c>
      <c r="E185" s="11">
        <v>1.0</v>
      </c>
      <c r="F185" s="12">
        <v>0.0082</v>
      </c>
      <c r="G185" s="10">
        <v>12.0</v>
      </c>
      <c r="H185" s="10">
        <v>1.0</v>
      </c>
      <c r="I185" s="10" t="s">
        <v>42</v>
      </c>
      <c r="J185" s="10" t="s">
        <v>60</v>
      </c>
      <c r="K185" s="10" t="s">
        <v>107</v>
      </c>
      <c r="L185" s="13">
        <v>2.0</v>
      </c>
      <c r="M185" s="13">
        <v>2.0</v>
      </c>
      <c r="N185" s="13" t="s">
        <v>23</v>
      </c>
      <c r="O185" s="13">
        <v>2.0</v>
      </c>
      <c r="P185" s="10" t="s">
        <v>23</v>
      </c>
      <c r="Q185" s="10" t="s">
        <v>23</v>
      </c>
      <c r="R185" s="10"/>
      <c r="S185" s="10" t="s">
        <v>23</v>
      </c>
      <c r="T185" s="10"/>
      <c r="U185" s="10" t="s">
        <v>23</v>
      </c>
    </row>
    <row r="186">
      <c r="A186" s="9" t="str">
        <f>HYPERLINK("https://docs.google.com/spreadsheets/d/1EZNO7rY3X3GsqJDX9iY8RpZJJDJ-K4nm_Mxm1g397N0/edit?usp=sharing","Jessie Camacho")</f>
        <v>Jessie Camacho</v>
      </c>
      <c r="B186" s="10">
        <v>3.0</v>
      </c>
      <c r="C186" s="10">
        <v>4.0</v>
      </c>
      <c r="D186" s="10">
        <v>2.0</v>
      </c>
      <c r="E186" s="11">
        <v>2.0</v>
      </c>
      <c r="F186" s="12">
        <v>0.008</v>
      </c>
      <c r="G186" s="10">
        <v>6.0</v>
      </c>
      <c r="H186" s="10" t="s">
        <v>23</v>
      </c>
      <c r="I186" s="10" t="s">
        <v>42</v>
      </c>
      <c r="J186" s="10" t="s">
        <v>60</v>
      </c>
      <c r="K186" s="10" t="s">
        <v>139</v>
      </c>
      <c r="L186" s="13" t="s">
        <v>23</v>
      </c>
      <c r="M186" s="13" t="s">
        <v>23</v>
      </c>
      <c r="N186" s="13" t="s">
        <v>23</v>
      </c>
      <c r="O186" s="13">
        <v>2.0</v>
      </c>
      <c r="P186" s="10" t="s">
        <v>23</v>
      </c>
      <c r="Q186" s="10" t="s">
        <v>23</v>
      </c>
      <c r="R186" s="10"/>
      <c r="S186" s="10" t="s">
        <v>23</v>
      </c>
      <c r="T186" s="10"/>
      <c r="U186" s="10" t="s">
        <v>23</v>
      </c>
    </row>
    <row r="187">
      <c r="A187" s="9" t="str">
        <f>HYPERLINK("https://docs.google.com/spreadsheets/d/18wmIvmUS3SeZNSPQeUzr6sPl9GBYpVSlOaFR_kJCmKo/edit?usp=sharing","Debb Eaton")</f>
        <v>Debb Eaton</v>
      </c>
      <c r="B187" s="10">
        <v>2.0</v>
      </c>
      <c r="C187" s="10">
        <v>4.0</v>
      </c>
      <c r="D187" s="10">
        <v>1.0</v>
      </c>
      <c r="E187" s="11">
        <v>4.0</v>
      </c>
      <c r="F187" s="12">
        <v>0.0071</v>
      </c>
      <c r="G187" s="10">
        <v>3.0</v>
      </c>
      <c r="H187" s="10" t="s">
        <v>23</v>
      </c>
      <c r="I187" s="10" t="s">
        <v>42</v>
      </c>
      <c r="J187" s="10" t="s">
        <v>60</v>
      </c>
      <c r="K187" s="10" t="s">
        <v>140</v>
      </c>
      <c r="L187" s="13" t="s">
        <v>23</v>
      </c>
      <c r="M187" s="13" t="s">
        <v>23</v>
      </c>
      <c r="N187" s="13" t="s">
        <v>23</v>
      </c>
      <c r="O187" s="13">
        <v>1.0</v>
      </c>
      <c r="P187" s="10" t="s">
        <v>23</v>
      </c>
      <c r="Q187" s="10" t="s">
        <v>23</v>
      </c>
      <c r="R187" s="10"/>
      <c r="S187" s="10" t="s">
        <v>23</v>
      </c>
      <c r="T187" s="10"/>
      <c r="U187" s="10" t="s">
        <v>23</v>
      </c>
    </row>
    <row r="188">
      <c r="A188" s="40" t="str">
        <f>HYPERLINK("https://docs.google.com/spreadsheets/d/1y7awzkkkaNlh7XKjc44AGriTvqB9H3pVz8cFLyIYdbo/edit?usp=sharing","David Samson")</f>
        <v>David Samson</v>
      </c>
      <c r="B188" s="34">
        <v>28.0</v>
      </c>
      <c r="C188" s="34">
        <v>4.0</v>
      </c>
      <c r="D188" s="34">
        <v>1.0</v>
      </c>
      <c r="E188" s="41">
        <v>4.0</v>
      </c>
      <c r="F188" s="42">
        <v>0.0087</v>
      </c>
      <c r="G188" s="34">
        <v>3.0</v>
      </c>
      <c r="H188" s="34" t="s">
        <v>23</v>
      </c>
      <c r="I188" s="34" t="s">
        <v>42</v>
      </c>
      <c r="J188" s="34" t="s">
        <v>60</v>
      </c>
      <c r="K188" s="34" t="s">
        <v>138</v>
      </c>
      <c r="L188" s="31" t="s">
        <v>23</v>
      </c>
      <c r="M188" s="31" t="s">
        <v>23</v>
      </c>
      <c r="N188" s="31" t="s">
        <v>23</v>
      </c>
      <c r="O188" s="31">
        <v>1.0</v>
      </c>
      <c r="P188" s="34" t="s">
        <v>23</v>
      </c>
      <c r="Q188" s="34" t="s">
        <v>23</v>
      </c>
      <c r="R188" s="34"/>
      <c r="S188" s="34" t="s">
        <v>23</v>
      </c>
      <c r="T188" s="34"/>
      <c r="U188" s="34" t="s">
        <v>23</v>
      </c>
    </row>
    <row r="189">
      <c r="A189" s="15" t="str">
        <f>HYPERLINK("https://docs.google.com/spreadsheets/d/1t379i2CYDM1ZVdZZy_Nj2m3ht6Sp4J68-xZ2v4-PIMo/edit?usp=sharing","Darnell Hamilton")</f>
        <v>Darnell Hamilton</v>
      </c>
      <c r="B189" s="13">
        <v>32.0</v>
      </c>
      <c r="C189" s="13">
        <v>4.0</v>
      </c>
      <c r="D189" s="13">
        <v>1.0</v>
      </c>
      <c r="E189" s="16">
        <v>4.0</v>
      </c>
      <c r="F189" s="17">
        <v>0.0081</v>
      </c>
      <c r="G189" s="13">
        <v>3.0</v>
      </c>
      <c r="H189" s="13" t="s">
        <v>23</v>
      </c>
      <c r="I189" s="13" t="s">
        <v>42</v>
      </c>
      <c r="J189" s="13" t="s">
        <v>60</v>
      </c>
      <c r="K189" s="13" t="s">
        <v>138</v>
      </c>
      <c r="L189" s="13" t="s">
        <v>23</v>
      </c>
      <c r="M189" s="13" t="s">
        <v>23</v>
      </c>
      <c r="N189" s="13" t="s">
        <v>23</v>
      </c>
      <c r="O189" s="13">
        <v>1.0</v>
      </c>
      <c r="P189" s="13" t="s">
        <v>23</v>
      </c>
      <c r="Q189" s="13" t="s">
        <v>23</v>
      </c>
      <c r="R189" s="13"/>
      <c r="S189" s="13" t="s">
        <v>23</v>
      </c>
      <c r="T189" s="13"/>
      <c r="U189" s="13" t="s">
        <v>23</v>
      </c>
    </row>
    <row r="190">
      <c r="A190" s="15" t="str">
        <f>HYPERLINK("https://docs.google.com/spreadsheets/d/1sWOJC8eB6rVdXdWiWMgfbfgw2325jIh1ODKxyaCmSGc/edit?usp=sharing","Brooke Struck")</f>
        <v>Brooke Struck</v>
      </c>
      <c r="B190" s="13">
        <v>11.0</v>
      </c>
      <c r="C190" s="13">
        <v>4.0</v>
      </c>
      <c r="D190" s="13">
        <v>4.0</v>
      </c>
      <c r="E190" s="16">
        <v>1.0</v>
      </c>
      <c r="F190" s="17">
        <v>0.0091</v>
      </c>
      <c r="G190" s="13">
        <v>11.0</v>
      </c>
      <c r="H190" s="13">
        <v>1.0</v>
      </c>
      <c r="I190" s="13" t="s">
        <v>42</v>
      </c>
      <c r="J190" s="13" t="s">
        <v>60</v>
      </c>
      <c r="K190" s="13" t="s">
        <v>113</v>
      </c>
      <c r="L190" s="13">
        <v>3.0</v>
      </c>
      <c r="M190" s="13">
        <v>2.0</v>
      </c>
      <c r="N190" s="13" t="s">
        <v>23</v>
      </c>
      <c r="O190" s="13">
        <v>2.0</v>
      </c>
      <c r="P190" s="13" t="s">
        <v>23</v>
      </c>
      <c r="Q190" s="13" t="s">
        <v>23</v>
      </c>
      <c r="R190" s="13"/>
      <c r="S190" s="13" t="s">
        <v>23</v>
      </c>
      <c r="T190" s="13" t="s">
        <v>23</v>
      </c>
      <c r="U190" s="13" t="s">
        <v>23</v>
      </c>
    </row>
    <row r="191">
      <c r="A191" s="40" t="str">
        <f>HYPERLINK("https://docs.google.com/spreadsheets/d/1yi_HtvN4TS5uRWCCFJg5RFaoouiIIe8CAtY_XnqP6iM/edit?usp=sharing","Brook Geraghty")</f>
        <v>Brook Geraghty</v>
      </c>
      <c r="B191" s="34">
        <v>9.0</v>
      </c>
      <c r="C191" s="34">
        <v>4.0</v>
      </c>
      <c r="D191" s="34">
        <v>1.0</v>
      </c>
      <c r="E191" s="41">
        <v>4.0</v>
      </c>
      <c r="F191" s="33">
        <v>0.0095</v>
      </c>
      <c r="G191" s="34">
        <v>3.0</v>
      </c>
      <c r="H191" s="34" t="s">
        <v>23</v>
      </c>
      <c r="I191" s="34" t="s">
        <v>42</v>
      </c>
      <c r="J191" s="34" t="s">
        <v>60</v>
      </c>
      <c r="K191" s="34" t="s">
        <v>138</v>
      </c>
      <c r="L191" s="34" t="s">
        <v>23</v>
      </c>
      <c r="M191" s="34" t="s">
        <v>23</v>
      </c>
      <c r="N191" s="34" t="s">
        <v>23</v>
      </c>
      <c r="O191" s="34">
        <v>1.0</v>
      </c>
      <c r="P191" s="34" t="s">
        <v>23</v>
      </c>
      <c r="Q191" s="34" t="s">
        <v>23</v>
      </c>
      <c r="R191" s="34"/>
      <c r="S191" s="34" t="s">
        <v>23</v>
      </c>
      <c r="T191" s="34"/>
      <c r="U191" s="34" t="s">
        <v>23</v>
      </c>
    </row>
    <row r="192">
      <c r="A192" s="15" t="str">
        <f>HYPERLINK("https://docs.google.com/spreadsheets/d/1q-5bbq9txg93Y0eUACxRPTIN5PuRjeDVpNDfeXEw4iE/edit?usp=sharing","Simone Nguyen")</f>
        <v>Simone Nguyen</v>
      </c>
      <c r="B192" s="13">
        <v>35.0</v>
      </c>
      <c r="C192" s="13">
        <v>4.0</v>
      </c>
      <c r="D192" s="13">
        <v>2.0</v>
      </c>
      <c r="E192" s="16">
        <v>2.0</v>
      </c>
      <c r="F192" s="17">
        <v>0.0093</v>
      </c>
      <c r="G192" s="13">
        <v>6.0</v>
      </c>
      <c r="H192" s="13">
        <v>1.0</v>
      </c>
      <c r="I192" s="13" t="s">
        <v>42</v>
      </c>
      <c r="J192" s="13" t="s">
        <v>60</v>
      </c>
      <c r="K192" s="13" t="s">
        <v>128</v>
      </c>
      <c r="L192" s="13" t="s">
        <v>23</v>
      </c>
      <c r="M192" s="13">
        <v>1.0</v>
      </c>
      <c r="N192" s="13" t="s">
        <v>23</v>
      </c>
      <c r="O192" s="13">
        <v>1.0</v>
      </c>
      <c r="P192" s="13" t="s">
        <v>23</v>
      </c>
      <c r="Q192" s="13" t="s">
        <v>23</v>
      </c>
      <c r="R192" s="13"/>
      <c r="S192" s="13" t="s">
        <v>23</v>
      </c>
      <c r="T192" s="13" t="s">
        <v>23</v>
      </c>
      <c r="U192" s="13" t="s">
        <v>23</v>
      </c>
    </row>
    <row r="193">
      <c r="A193" s="9" t="str">
        <f>HYPERLINK("https://docs.google.com/spreadsheets/d/1EsGJrNyA7pLwFUlZ6WfOkbnPz58Cle9N9c6epQSDRVA/edit?usp=sharing","Vytas Baskauskas")</f>
        <v>Vytas Baskauskas</v>
      </c>
      <c r="B193" s="10">
        <v>31.0</v>
      </c>
      <c r="C193" s="10">
        <v>3.0</v>
      </c>
      <c r="D193" s="10">
        <v>1.0</v>
      </c>
      <c r="E193" s="11">
        <v>3.0</v>
      </c>
      <c r="F193" s="12">
        <v>0.0068</v>
      </c>
      <c r="G193" s="10">
        <v>3.0</v>
      </c>
      <c r="H193" s="10" t="s">
        <v>23</v>
      </c>
      <c r="I193" s="10" t="s">
        <v>42</v>
      </c>
      <c r="J193" s="10" t="s">
        <v>60</v>
      </c>
      <c r="K193" s="10" t="s">
        <v>110</v>
      </c>
      <c r="L193" s="13">
        <v>1.0</v>
      </c>
      <c r="M193" s="13" t="s">
        <v>23</v>
      </c>
      <c r="N193" s="13" t="s">
        <v>23</v>
      </c>
      <c r="O193" s="13">
        <v>1.0</v>
      </c>
      <c r="P193" s="10" t="s">
        <v>23</v>
      </c>
      <c r="Q193" s="10" t="s">
        <v>23</v>
      </c>
      <c r="R193" s="10"/>
      <c r="S193" s="10" t="s">
        <v>23</v>
      </c>
      <c r="T193" s="10"/>
      <c r="U193" s="10" t="s">
        <v>23</v>
      </c>
    </row>
    <row r="194">
      <c r="A194" s="15" t="str">
        <f>HYPERLINK("https://docs.google.com/spreadsheets/d/1VEbyebFdBtPJKQC_U2uGrW6_v1fn6Hsoz3YYLyCxHR0/edit?usp=sharing","Tina Scheer")</f>
        <v>Tina Scheer</v>
      </c>
      <c r="B194" s="13">
        <v>12.0</v>
      </c>
      <c r="C194" s="13">
        <v>3.0</v>
      </c>
      <c r="D194" s="13">
        <v>1.0</v>
      </c>
      <c r="E194" s="16">
        <v>3.0</v>
      </c>
      <c r="F194" s="17">
        <v>0.1241</v>
      </c>
      <c r="G194" s="13">
        <v>3.0</v>
      </c>
      <c r="H194" s="13" t="s">
        <v>23</v>
      </c>
      <c r="I194" s="13" t="s">
        <v>42</v>
      </c>
      <c r="J194" s="13" t="s">
        <v>60</v>
      </c>
      <c r="K194" s="13" t="s">
        <v>140</v>
      </c>
      <c r="L194" s="13">
        <v>1.0</v>
      </c>
      <c r="M194" s="13" t="s">
        <v>23</v>
      </c>
      <c r="N194" s="13" t="s">
        <v>23</v>
      </c>
      <c r="O194" s="13">
        <v>1.0</v>
      </c>
      <c r="P194" s="13" t="s">
        <v>23</v>
      </c>
      <c r="Q194" s="13" t="s">
        <v>23</v>
      </c>
      <c r="R194" s="13"/>
      <c r="S194" s="13" t="s">
        <v>23</v>
      </c>
      <c r="T194" s="13" t="s">
        <v>23</v>
      </c>
      <c r="U194" s="13" t="s">
        <v>23</v>
      </c>
    </row>
    <row r="195">
      <c r="A195" s="15" t="str">
        <f>HYPERLINK("https://docs.google.com/spreadsheets/d/1ZajpFwOHrMmupCcACeLhLTzPOwhTrjKRR1FJtUgeLww/edit?usp=sharing","Rachel Ako")</f>
        <v>Rachel Ako</v>
      </c>
      <c r="B195" s="13">
        <v>33.0</v>
      </c>
      <c r="C195" s="13">
        <v>3.0</v>
      </c>
      <c r="D195" s="13">
        <v>1.0</v>
      </c>
      <c r="E195" s="16">
        <v>3.0</v>
      </c>
      <c r="F195" s="17">
        <v>0.0069</v>
      </c>
      <c r="G195" s="13">
        <v>4.0</v>
      </c>
      <c r="H195" s="13" t="s">
        <v>23</v>
      </c>
      <c r="I195" s="13" t="s">
        <v>42</v>
      </c>
      <c r="J195" s="13" t="s">
        <v>60</v>
      </c>
      <c r="K195" s="13" t="s">
        <v>110</v>
      </c>
      <c r="L195" s="13" t="s">
        <v>23</v>
      </c>
      <c r="M195" s="13" t="s">
        <v>23</v>
      </c>
      <c r="N195" s="13" t="s">
        <v>23</v>
      </c>
      <c r="O195" s="13">
        <v>1.0</v>
      </c>
      <c r="P195" s="13" t="s">
        <v>23</v>
      </c>
      <c r="Q195" s="13" t="s">
        <v>23</v>
      </c>
      <c r="R195" s="13"/>
      <c r="S195" s="13" t="s">
        <v>23</v>
      </c>
      <c r="T195" s="13" t="s">
        <v>23</v>
      </c>
      <c r="U195" s="13" t="s">
        <v>23</v>
      </c>
    </row>
    <row r="196">
      <c r="A196" s="15" t="str">
        <f>HYPERLINK("https://docs.google.com/spreadsheets/d/1ZajpFwOHrMmupCcACeLhLTzPOwhTrjKRR1FJtUgeLww/edit?usp=sharing","Lucy Huang")</f>
        <v>Lucy Huang</v>
      </c>
      <c r="B196" s="13">
        <v>33.0</v>
      </c>
      <c r="C196" s="13">
        <v>3.0</v>
      </c>
      <c r="D196" s="13">
        <v>4.0</v>
      </c>
      <c r="E196" s="16">
        <v>0.75</v>
      </c>
      <c r="F196" s="17">
        <v>0.0069</v>
      </c>
      <c r="G196" s="13">
        <v>12.0</v>
      </c>
      <c r="H196" s="13">
        <v>3.0</v>
      </c>
      <c r="I196" s="13" t="s">
        <v>42</v>
      </c>
      <c r="J196" s="13" t="s">
        <v>60</v>
      </c>
      <c r="K196" s="13" t="s">
        <v>96</v>
      </c>
      <c r="L196" s="13">
        <v>2.0</v>
      </c>
      <c r="M196" s="13">
        <v>1.0</v>
      </c>
      <c r="N196" s="13" t="s">
        <v>23</v>
      </c>
      <c r="O196" s="13">
        <v>3.0</v>
      </c>
      <c r="P196" s="13" t="s">
        <v>23</v>
      </c>
      <c r="Q196" s="13" t="s">
        <v>23</v>
      </c>
      <c r="R196" s="13"/>
      <c r="S196" s="13" t="s">
        <v>23</v>
      </c>
      <c r="T196" s="13" t="s">
        <v>23</v>
      </c>
      <c r="U196" s="13" t="s">
        <v>23</v>
      </c>
    </row>
    <row r="197">
      <c r="A197" s="15" t="str">
        <f>HYPERLINK("https://docs.google.com/spreadsheets/d/1d8Hzm_QCJnDef8NF_dVYBZLjLjFI3Fl8Yt14m8Zhn8Y/edit?usp=sharing","Jolanda Jones")</f>
        <v>Jolanda Jones</v>
      </c>
      <c r="B197" s="13">
        <v>10.0</v>
      </c>
      <c r="C197" s="13">
        <v>3.0</v>
      </c>
      <c r="D197" s="13">
        <v>1.0</v>
      </c>
      <c r="E197" s="16">
        <v>3.0</v>
      </c>
      <c r="F197" s="17">
        <v>0.007</v>
      </c>
      <c r="G197" s="13">
        <v>3.0</v>
      </c>
      <c r="H197" s="13" t="s">
        <v>23</v>
      </c>
      <c r="I197" s="13" t="s">
        <v>42</v>
      </c>
      <c r="J197" s="13" t="s">
        <v>60</v>
      </c>
      <c r="K197" s="13" t="s">
        <v>124</v>
      </c>
      <c r="L197" s="13" t="s">
        <v>23</v>
      </c>
      <c r="M197" s="13" t="s">
        <v>23</v>
      </c>
      <c r="N197" s="13">
        <v>1.0</v>
      </c>
      <c r="O197" s="13">
        <v>1.0</v>
      </c>
      <c r="P197" s="13" t="s">
        <v>23</v>
      </c>
      <c r="Q197" s="13" t="s">
        <v>23</v>
      </c>
      <c r="R197" s="13"/>
      <c r="S197" s="13" t="s">
        <v>23</v>
      </c>
      <c r="T197" s="13" t="s">
        <v>23</v>
      </c>
      <c r="U197" s="13" t="s">
        <v>23</v>
      </c>
    </row>
    <row r="198">
      <c r="A198" s="15" t="str">
        <f>HYPERLINK("https://docs.google.com/spreadsheets/d/1tElnwN2HVf964gGw8Ei53RyfjarS40wkDY3zivAPWp0/edit?usp=sharing","Ciera Eastin")</f>
        <v>Ciera Eastin</v>
      </c>
      <c r="B198" s="13">
        <v>34.0</v>
      </c>
      <c r="C198" s="13">
        <v>3.0</v>
      </c>
      <c r="D198" s="13">
        <v>1.0</v>
      </c>
      <c r="E198" s="16">
        <v>3.0</v>
      </c>
      <c r="F198" s="17">
        <v>0.0073</v>
      </c>
      <c r="G198" s="13">
        <v>3.0</v>
      </c>
      <c r="H198" s="13" t="s">
        <v>23</v>
      </c>
      <c r="I198" s="13" t="s">
        <v>42</v>
      </c>
      <c r="J198" s="13" t="s">
        <v>60</v>
      </c>
      <c r="K198" s="13" t="s">
        <v>110</v>
      </c>
      <c r="L198" s="13" t="s">
        <v>23</v>
      </c>
      <c r="M198" s="13" t="s">
        <v>23</v>
      </c>
      <c r="N198" s="13" t="s">
        <v>23</v>
      </c>
      <c r="O198" s="13">
        <v>1.0</v>
      </c>
      <c r="P198" s="13" t="s">
        <v>23</v>
      </c>
      <c r="Q198" s="13" t="s">
        <v>23</v>
      </c>
      <c r="R198" s="13"/>
      <c r="S198" s="13" t="s">
        <v>23</v>
      </c>
      <c r="T198" s="13" t="s">
        <v>23</v>
      </c>
      <c r="U198" s="13" t="s">
        <v>23</v>
      </c>
    </row>
    <row r="199">
      <c r="A199" s="9" t="str">
        <f>HYPERLINK("https://docs.google.com/spreadsheets/d/1LR80O0PvsOvoTuN5gHQd3Rls4b1rZmJd7EZ_DR2oRHs/edit?usp=sharing","Allie Pohevitz")</f>
        <v>Allie Pohevitz</v>
      </c>
      <c r="B199" s="10">
        <v>26.0</v>
      </c>
      <c r="C199" s="10">
        <v>3.0</v>
      </c>
      <c r="D199" s="10">
        <v>2.0</v>
      </c>
      <c r="E199" s="11">
        <v>1.5</v>
      </c>
      <c r="F199" s="12">
        <v>0.0073</v>
      </c>
      <c r="G199" s="10">
        <v>5.0</v>
      </c>
      <c r="H199" s="10" t="s">
        <v>23</v>
      </c>
      <c r="I199" s="10" t="s">
        <v>42</v>
      </c>
      <c r="J199" s="10" t="s">
        <v>60</v>
      </c>
      <c r="K199" s="10" t="s">
        <v>131</v>
      </c>
      <c r="L199" s="13" t="s">
        <v>23</v>
      </c>
      <c r="M199" s="13">
        <v>1.0</v>
      </c>
      <c r="N199" s="13">
        <v>1.0</v>
      </c>
      <c r="O199" s="13">
        <v>1.0</v>
      </c>
      <c r="P199" s="10" t="s">
        <v>23</v>
      </c>
      <c r="Q199" s="10" t="s">
        <v>23</v>
      </c>
      <c r="R199" s="10"/>
      <c r="S199" s="10" t="s">
        <v>23</v>
      </c>
      <c r="T199" s="10"/>
      <c r="U199" s="10" t="s">
        <v>23</v>
      </c>
    </row>
    <row r="200">
      <c r="A200" s="9" t="str">
        <f>HYPERLINK("https://docs.google.com/spreadsheets/d/1nYlVL4RxK2ZUH-a4MfKCalHyEjDRWz2ZumhyoaYsjTE/edit?usp=sharing","Wendy Jo De-Smidt-Kohlhoff")</f>
        <v>Wendy Jo De-Smidt-Kohlhoff</v>
      </c>
      <c r="B200" s="10">
        <v>21.0</v>
      </c>
      <c r="C200" s="10">
        <v>2.0</v>
      </c>
      <c r="D200" s="10">
        <v>1.0</v>
      </c>
      <c r="E200" s="11">
        <v>2.0</v>
      </c>
      <c r="F200" s="12">
        <v>0.0048</v>
      </c>
      <c r="G200" s="10">
        <v>3.0</v>
      </c>
      <c r="H200" s="10" t="s">
        <v>23</v>
      </c>
      <c r="I200" s="10" t="s">
        <v>42</v>
      </c>
      <c r="J200" s="10" t="s">
        <v>60</v>
      </c>
      <c r="K200" s="10" t="s">
        <v>110</v>
      </c>
      <c r="L200" s="13" t="s">
        <v>23</v>
      </c>
      <c r="M200" s="13" t="s">
        <v>23</v>
      </c>
      <c r="N200" s="13" t="s">
        <v>23</v>
      </c>
      <c r="O200" s="13">
        <v>1.0</v>
      </c>
      <c r="P200" s="10" t="s">
        <v>23</v>
      </c>
      <c r="Q200" s="10" t="s">
        <v>23</v>
      </c>
      <c r="R200" s="10"/>
      <c r="S200" s="10" t="s">
        <v>23</v>
      </c>
      <c r="T200" s="10"/>
      <c r="U200" s="10" t="s">
        <v>23</v>
      </c>
    </row>
    <row r="201">
      <c r="A201" s="9" t="str">
        <f>HYPERLINK("https://docs.google.com/spreadsheets/d/1hg_GT4r2smQsgkwEYBqHOukVavnNSyncsyfceWDpOho/edit?usp=sharing","Tina Wesson")</f>
        <v>Tina Wesson</v>
      </c>
      <c r="B201" s="10">
        <v>8.0</v>
      </c>
      <c r="C201" s="10">
        <v>2.0</v>
      </c>
      <c r="D201" s="10">
        <v>1.0</v>
      </c>
      <c r="E201" s="11">
        <v>2.0</v>
      </c>
      <c r="F201" s="12">
        <v>0.0039</v>
      </c>
      <c r="G201" s="10">
        <v>3.0</v>
      </c>
      <c r="H201" s="10" t="s">
        <v>23</v>
      </c>
      <c r="I201" s="10" t="s">
        <v>42</v>
      </c>
      <c r="J201" s="10" t="s">
        <v>60</v>
      </c>
      <c r="K201" s="10" t="s">
        <v>138</v>
      </c>
      <c r="L201" s="13" t="s">
        <v>23</v>
      </c>
      <c r="M201" s="13" t="s">
        <v>23</v>
      </c>
      <c r="N201" s="13" t="s">
        <v>23</v>
      </c>
      <c r="O201" s="13">
        <v>1.0</v>
      </c>
      <c r="P201" s="10" t="s">
        <v>23</v>
      </c>
      <c r="Q201" s="10" t="s">
        <v>23</v>
      </c>
      <c r="R201" s="10"/>
      <c r="S201" s="10" t="s">
        <v>23</v>
      </c>
      <c r="T201" s="10"/>
      <c r="U201" s="10" t="s">
        <v>23</v>
      </c>
    </row>
    <row r="202">
      <c r="A202" s="9" t="str">
        <f>HYPERLINK("https://docs.google.com/spreadsheets/d/14eN4V4imd53x81UQVckjyAx_2xIFGXJ8NE4XmE1oDkg/edit?usp=sharing","Sonja Christopher")</f>
        <v>Sonja Christopher</v>
      </c>
      <c r="B202" s="10">
        <v>1.0</v>
      </c>
      <c r="C202" s="10">
        <v>2.0</v>
      </c>
      <c r="D202" s="10">
        <v>1.0</v>
      </c>
      <c r="E202" s="11">
        <v>2.0</v>
      </c>
      <c r="F202" s="14">
        <v>0.003</v>
      </c>
      <c r="G202" s="10">
        <v>3.0</v>
      </c>
      <c r="H202" s="10" t="s">
        <v>23</v>
      </c>
      <c r="I202" s="10" t="s">
        <v>42</v>
      </c>
      <c r="J202" s="10" t="s">
        <v>60</v>
      </c>
      <c r="K202" s="10" t="s">
        <v>140</v>
      </c>
      <c r="L202" s="13" t="s">
        <v>23</v>
      </c>
      <c r="M202" s="13" t="s">
        <v>23</v>
      </c>
      <c r="N202" s="13" t="s">
        <v>23</v>
      </c>
      <c r="O202" s="13">
        <v>1.0</v>
      </c>
      <c r="P202" s="10" t="s">
        <v>23</v>
      </c>
      <c r="Q202" s="10" t="s">
        <v>23</v>
      </c>
      <c r="R202" s="10"/>
      <c r="S202" s="10" t="s">
        <v>23</v>
      </c>
      <c r="T202" s="10"/>
      <c r="U202" s="10" t="s">
        <v>23</v>
      </c>
    </row>
    <row r="203">
      <c r="A203" s="15" t="str">
        <f>HYPERLINK("https://docs.google.com/spreadsheets/d/1sWOJC8eB6rVdXdWiWMgfbfgw2325jIh1ODKxyaCmSGc/edit?usp=sharing","Morgan McDevitt")</f>
        <v>Morgan McDevitt</v>
      </c>
      <c r="B203" s="13">
        <v>11.0</v>
      </c>
      <c r="C203" s="13">
        <v>2.0</v>
      </c>
      <c r="D203" s="13">
        <v>2.0</v>
      </c>
      <c r="E203" s="16">
        <v>1.0</v>
      </c>
      <c r="F203" s="17">
        <v>0.0045</v>
      </c>
      <c r="G203" s="13">
        <v>6.0</v>
      </c>
      <c r="H203" s="13">
        <v>1.0</v>
      </c>
      <c r="I203" s="13" t="s">
        <v>42</v>
      </c>
      <c r="J203" s="13" t="s">
        <v>60</v>
      </c>
      <c r="K203" s="13" t="s">
        <v>128</v>
      </c>
      <c r="L203" s="13" t="s">
        <v>23</v>
      </c>
      <c r="M203" s="13">
        <v>1.0</v>
      </c>
      <c r="N203" s="13" t="s">
        <v>23</v>
      </c>
      <c r="O203" s="13">
        <v>1.0</v>
      </c>
      <c r="P203" s="13" t="s">
        <v>23</v>
      </c>
      <c r="Q203" s="13" t="s">
        <v>23</v>
      </c>
      <c r="R203" s="13"/>
      <c r="S203" s="13" t="s">
        <v>23</v>
      </c>
      <c r="T203" s="13" t="s">
        <v>23</v>
      </c>
      <c r="U203" s="13" t="s">
        <v>23</v>
      </c>
    </row>
    <row r="204">
      <c r="A204" s="9" t="str">
        <f>HYPERLINK("https://docs.google.com/spreadsheets/d/1v6gXy2rHfH0CkzT8zUZyZm6b-WimbnBspkh1B5hksu4/edit?usp=sharing","Kourtney Moon")</f>
        <v>Kourtney Moon</v>
      </c>
      <c r="B204" s="10">
        <v>24.0</v>
      </c>
      <c r="C204" s="10">
        <v>2.0</v>
      </c>
      <c r="D204" s="10">
        <v>1.0</v>
      </c>
      <c r="E204" s="11">
        <v>2.0</v>
      </c>
      <c r="F204" s="12">
        <v>0.0052</v>
      </c>
      <c r="G204" s="10">
        <v>3.0</v>
      </c>
      <c r="H204" s="10" t="s">
        <v>23</v>
      </c>
      <c r="I204" s="10" t="s">
        <v>42</v>
      </c>
      <c r="J204" s="10" t="s">
        <v>60</v>
      </c>
      <c r="K204" s="10" t="s">
        <v>138</v>
      </c>
      <c r="L204" s="13" t="s">
        <v>23</v>
      </c>
      <c r="M204" s="13" t="s">
        <v>23</v>
      </c>
      <c r="N204" s="13" t="s">
        <v>23</v>
      </c>
      <c r="O204" s="13" t="s">
        <v>23</v>
      </c>
      <c r="P204" s="10" t="s">
        <v>23</v>
      </c>
      <c r="Q204" s="10" t="s">
        <v>23</v>
      </c>
      <c r="R204" s="10"/>
      <c r="S204" s="10" t="s">
        <v>23</v>
      </c>
      <c r="T204" s="10"/>
      <c r="U204" s="10" t="s">
        <v>92</v>
      </c>
    </row>
    <row r="205">
      <c r="A205" s="15" t="str">
        <f>HYPERLINK("https://docs.google.com/spreadsheets/d/1sWOJC8eB6rVdXdWiWMgfbfgw2325jIh1ODKxyaCmSGc/edit?usp=sharing","Jim Lynch")</f>
        <v>Jim Lynch</v>
      </c>
      <c r="B205" s="13">
        <v>11.0</v>
      </c>
      <c r="C205" s="13">
        <v>2.0</v>
      </c>
      <c r="D205" s="13">
        <v>1.0</v>
      </c>
      <c r="E205" s="16">
        <v>2.0</v>
      </c>
      <c r="F205" s="17">
        <v>0.0045</v>
      </c>
      <c r="G205" s="13">
        <v>3.0</v>
      </c>
      <c r="H205" s="13" t="s">
        <v>23</v>
      </c>
      <c r="I205" s="13" t="s">
        <v>42</v>
      </c>
      <c r="J205" s="13" t="s">
        <v>60</v>
      </c>
      <c r="K205" s="13" t="s">
        <v>138</v>
      </c>
      <c r="L205" s="13">
        <v>1.0</v>
      </c>
      <c r="M205" s="13" t="s">
        <v>23</v>
      </c>
      <c r="N205" s="13" t="s">
        <v>23</v>
      </c>
      <c r="O205" s="13">
        <v>1.0</v>
      </c>
      <c r="P205" s="13" t="s">
        <v>23</v>
      </c>
      <c r="Q205" s="13" t="s">
        <v>23</v>
      </c>
      <c r="R205" s="13"/>
      <c r="S205" s="13" t="s">
        <v>23</v>
      </c>
      <c r="T205" s="13" t="s">
        <v>23</v>
      </c>
      <c r="U205" s="13" t="s">
        <v>23</v>
      </c>
    </row>
    <row r="206">
      <c r="A206" s="15" t="str">
        <f>HYPERLINK("https://docs.google.com/spreadsheets/d/1d8Hzm_QCJnDef8NF_dVYBZLjLjFI3Fl8Yt14m8Zhn8Y/edit?usp=sharing","Ashlee Ashby")</f>
        <v>Ashlee Ashby</v>
      </c>
      <c r="B206" s="13">
        <v>10.0</v>
      </c>
      <c r="C206" s="13">
        <v>2.0</v>
      </c>
      <c r="D206" s="13">
        <v>2.0</v>
      </c>
      <c r="E206" s="16">
        <v>1.0</v>
      </c>
      <c r="F206" s="17">
        <v>0.0047</v>
      </c>
      <c r="G206" s="13">
        <v>6.0</v>
      </c>
      <c r="H206" s="13" t="s">
        <v>23</v>
      </c>
      <c r="I206" s="13" t="s">
        <v>42</v>
      </c>
      <c r="J206" s="13" t="s">
        <v>60</v>
      </c>
      <c r="K206" s="13" t="s">
        <v>96</v>
      </c>
      <c r="L206" s="13">
        <v>1.0</v>
      </c>
      <c r="M206" s="13" t="s">
        <v>23</v>
      </c>
      <c r="N206" s="13" t="s">
        <v>23</v>
      </c>
      <c r="O206" s="13">
        <v>2.0</v>
      </c>
      <c r="P206" s="13" t="s">
        <v>23</v>
      </c>
      <c r="Q206" s="13" t="s">
        <v>23</v>
      </c>
      <c r="R206" s="13"/>
      <c r="S206" s="13" t="s">
        <v>23</v>
      </c>
      <c r="T206" s="13" t="s">
        <v>23</v>
      </c>
      <c r="U206" s="13" t="s">
        <v>23</v>
      </c>
    </row>
    <row r="207">
      <c r="A207" s="15" t="str">
        <f>HYPERLINK("https://docs.google.com/spreadsheets/d/1q-5bbq9txg93Y0eUACxRPTIN5PuRjeDVpNDfeXEw4iE/edit?usp=sharing","Katrina Radke")</f>
        <v>Katrina Radke</v>
      </c>
      <c r="B207" s="13">
        <v>35.0</v>
      </c>
      <c r="C207" s="13">
        <v>2.0</v>
      </c>
      <c r="D207" s="13">
        <v>1.0</v>
      </c>
      <c r="E207" s="16">
        <v>2.0</v>
      </c>
      <c r="F207" s="17">
        <v>0.0046</v>
      </c>
      <c r="G207" s="13">
        <v>3.0</v>
      </c>
      <c r="H207" s="13" t="s">
        <v>23</v>
      </c>
      <c r="I207" s="13" t="s">
        <v>42</v>
      </c>
      <c r="J207" s="13" t="s">
        <v>60</v>
      </c>
      <c r="K207" s="13" t="s">
        <v>138</v>
      </c>
      <c r="L207" s="13">
        <v>1.0</v>
      </c>
      <c r="M207" s="13" t="s">
        <v>23</v>
      </c>
      <c r="N207" s="13" t="s">
        <v>23</v>
      </c>
      <c r="O207" s="13">
        <v>1.0</v>
      </c>
      <c r="P207" s="13" t="s">
        <v>23</v>
      </c>
      <c r="Q207" s="13" t="s">
        <v>23</v>
      </c>
      <c r="R207" s="13"/>
      <c r="S207" s="13" t="s">
        <v>23</v>
      </c>
      <c r="T207" s="13" t="s">
        <v>23</v>
      </c>
      <c r="U207" s="13" t="s">
        <v>23</v>
      </c>
    </row>
    <row r="208">
      <c r="A208" s="15" t="str">
        <f>HYPERLINK("https://docs.google.com/spreadsheets/d/1Hf_PbZTXAuooCoiF7c3Bz80t5-zCjdWHF8wQ_HyodNs/edit?usp=sharing","Stephanie Gonzalez")</f>
        <v>Stephanie Gonzalez</v>
      </c>
      <c r="B208" s="13">
        <v>36.0</v>
      </c>
      <c r="C208" s="13">
        <v>2.0</v>
      </c>
      <c r="D208" s="13">
        <v>1.0</v>
      </c>
      <c r="E208" s="16">
        <v>2.0</v>
      </c>
      <c r="F208" s="17">
        <v>0.0051</v>
      </c>
      <c r="G208" s="13">
        <v>3.0</v>
      </c>
      <c r="H208" s="13" t="s">
        <v>23</v>
      </c>
      <c r="I208" s="13" t="s">
        <v>42</v>
      </c>
      <c r="J208" s="13" t="s">
        <v>60</v>
      </c>
      <c r="K208" s="13" t="s">
        <v>110</v>
      </c>
      <c r="L208" s="13">
        <v>1.0</v>
      </c>
      <c r="M208" s="13" t="s">
        <v>23</v>
      </c>
      <c r="N208" s="13" t="s">
        <v>23</v>
      </c>
      <c r="O208" s="13">
        <v>1.0</v>
      </c>
      <c r="P208" s="13" t="s">
        <v>23</v>
      </c>
      <c r="Q208" s="13" t="s">
        <v>23</v>
      </c>
      <c r="R208" s="13"/>
      <c r="S208" s="13" t="s">
        <v>23</v>
      </c>
      <c r="T208" s="13" t="s">
        <v>23</v>
      </c>
      <c r="U208" s="13" t="s">
        <v>23</v>
      </c>
    </row>
    <row r="209">
      <c r="A209" s="15" t="str">
        <f>HYPERLINK("https://docs.google.com/spreadsheets/d/1d8Hzm_QCJnDef8NF_dVYBZLjLjFI3Fl8Yt14m8Zhn8Y/edit?usp=sharing","Wanda Shirk")</f>
        <v>Wanda Shirk</v>
      </c>
      <c r="B209" s="13">
        <v>10.0</v>
      </c>
      <c r="C209" s="13">
        <v>1.0</v>
      </c>
      <c r="D209" s="13">
        <v>1.0</v>
      </c>
      <c r="E209" s="16">
        <v>1.0</v>
      </c>
      <c r="F209" s="17">
        <v>0.0023</v>
      </c>
      <c r="G209" s="13">
        <v>2.0</v>
      </c>
      <c r="H209" s="13" t="s">
        <v>23</v>
      </c>
      <c r="I209" s="13" t="s">
        <v>42</v>
      </c>
      <c r="J209" s="13" t="s">
        <v>60</v>
      </c>
      <c r="K209" s="13" t="s">
        <v>131</v>
      </c>
      <c r="L209" s="13" t="s">
        <v>23</v>
      </c>
      <c r="M209" s="13" t="s">
        <v>23</v>
      </c>
      <c r="N209" s="13" t="s">
        <v>23</v>
      </c>
      <c r="O209" s="13" t="s">
        <v>23</v>
      </c>
      <c r="P209" s="13" t="s">
        <v>23</v>
      </c>
      <c r="Q209" s="13" t="s">
        <v>23</v>
      </c>
      <c r="R209" s="13"/>
      <c r="S209" s="13" t="s">
        <v>23</v>
      </c>
      <c r="T209" s="13" t="s">
        <v>23</v>
      </c>
      <c r="U209" s="13" t="s">
        <v>23</v>
      </c>
    </row>
    <row r="210">
      <c r="A210" s="15" t="str">
        <f>HYPERLINK("https://docs.google.com/spreadsheets/d/1d8Hzm_QCJnDef8NF_dVYBZLjLjFI3Fl8Yt14m8Zhn8Y/edit?usp=sharing","Jonathan Libby")</f>
        <v>Jonathan Libby</v>
      </c>
      <c r="B210" s="13">
        <v>10.0</v>
      </c>
      <c r="C210" s="13">
        <v>1.0</v>
      </c>
      <c r="D210" s="13">
        <v>1.0</v>
      </c>
      <c r="E210" s="16">
        <v>1.0</v>
      </c>
      <c r="F210" s="17">
        <v>0.0023</v>
      </c>
      <c r="G210" s="13">
        <v>2.0</v>
      </c>
      <c r="H210" s="13" t="s">
        <v>23</v>
      </c>
      <c r="I210" s="13" t="s">
        <v>42</v>
      </c>
      <c r="J210" s="13" t="s">
        <v>60</v>
      </c>
      <c r="K210" s="13" t="s">
        <v>110</v>
      </c>
      <c r="L210" s="13" t="s">
        <v>23</v>
      </c>
      <c r="M210" s="13" t="s">
        <v>23</v>
      </c>
      <c r="N210" s="13" t="s">
        <v>23</v>
      </c>
      <c r="O210" s="13" t="s">
        <v>23</v>
      </c>
      <c r="P210" s="13" t="s">
        <v>23</v>
      </c>
      <c r="Q210" s="13" t="s">
        <v>23</v>
      </c>
      <c r="R210" s="13"/>
      <c r="S210" s="13" t="s">
        <v>23</v>
      </c>
      <c r="T210" s="13" t="s">
        <v>23</v>
      </c>
      <c r="U210" s="13" t="s">
        <v>23</v>
      </c>
    </row>
    <row r="211">
      <c r="A211" s="9" t="str">
        <f>HYPERLINK("https://docs.google.com/spreadsheets/d/1LR80O0PvsOvoTuN5gHQd3Rls4b1rZmJd7EZ_DR2oRHs/edit?usp=sharing","Hope Driskill")</f>
        <v>Hope Driskill</v>
      </c>
      <c r="B211" s="10">
        <v>26.0</v>
      </c>
      <c r="C211" s="10">
        <v>1.0</v>
      </c>
      <c r="D211" s="10">
        <v>3.0</v>
      </c>
      <c r="E211" s="11">
        <v>0.33</v>
      </c>
      <c r="F211" s="12">
        <v>0.0024</v>
      </c>
      <c r="G211" s="10">
        <v>7.0</v>
      </c>
      <c r="H211" s="10">
        <v>2.0</v>
      </c>
      <c r="I211" s="10" t="s">
        <v>42</v>
      </c>
      <c r="J211" s="10" t="s">
        <v>60</v>
      </c>
      <c r="K211" s="10" t="s">
        <v>124</v>
      </c>
      <c r="L211" s="13" t="s">
        <v>23</v>
      </c>
      <c r="M211" s="13">
        <v>1.0</v>
      </c>
      <c r="N211" s="13" t="s">
        <v>23</v>
      </c>
      <c r="O211" s="13">
        <v>2.0</v>
      </c>
      <c r="P211" s="10" t="s">
        <v>23</v>
      </c>
      <c r="Q211" s="10" t="s">
        <v>23</v>
      </c>
      <c r="R211" s="10"/>
      <c r="S211" s="10" t="s">
        <v>23</v>
      </c>
      <c r="T211" s="10"/>
      <c r="U211" s="10" t="s">
        <v>23</v>
      </c>
    </row>
    <row r="212">
      <c r="A212" s="9" t="str">
        <f>HYPERLINK("https://docs.google.com/spreadsheets/d/1EZNO7rY3X3GsqJDX9iY8RpZJJDJ-K4nm_Mxm1g397N0/edit?usp=sharing","Diane Ogden")</f>
        <v>Diane Ogden</v>
      </c>
      <c r="B212" s="10">
        <v>3.0</v>
      </c>
      <c r="C212" s="10">
        <v>1.0</v>
      </c>
      <c r="D212" s="10">
        <v>1.0</v>
      </c>
      <c r="E212" s="11">
        <v>1.0</v>
      </c>
      <c r="F212" s="12">
        <v>0.002</v>
      </c>
      <c r="G212" s="10">
        <v>3.0</v>
      </c>
      <c r="H212" s="10" t="s">
        <v>23</v>
      </c>
      <c r="I212" s="10" t="s">
        <v>42</v>
      </c>
      <c r="J212" s="10" t="s">
        <v>60</v>
      </c>
      <c r="K212" s="10" t="s">
        <v>140</v>
      </c>
      <c r="L212" s="13" t="s">
        <v>23</v>
      </c>
      <c r="M212" s="13" t="s">
        <v>23</v>
      </c>
      <c r="N212" s="13" t="s">
        <v>23</v>
      </c>
      <c r="O212" s="13">
        <v>1.0</v>
      </c>
      <c r="P212" s="10" t="s">
        <v>23</v>
      </c>
      <c r="Q212" s="10" t="s">
        <v>23</v>
      </c>
      <c r="R212" s="10"/>
      <c r="S212" s="10" t="s">
        <v>23</v>
      </c>
      <c r="T212" s="10"/>
      <c r="U212" s="10" t="s">
        <v>23</v>
      </c>
    </row>
    <row r="213">
      <c r="B213" s="28"/>
      <c r="C213" s="28"/>
      <c r="D213" s="28"/>
      <c r="E213" s="29"/>
      <c r="F213" s="29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</row>
    <row r="214">
      <c r="B214" s="28"/>
      <c r="C214" s="28"/>
      <c r="D214" s="28"/>
      <c r="E214" s="29"/>
      <c r="F214" s="29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</row>
    <row r="215">
      <c r="B215" s="28"/>
      <c r="C215" s="28"/>
      <c r="D215" s="28"/>
      <c r="E215" s="29"/>
      <c r="F215" s="29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</row>
    <row r="216">
      <c r="B216" s="28"/>
      <c r="C216" s="28"/>
      <c r="D216" s="28"/>
      <c r="E216" s="29"/>
      <c r="F216" s="29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</row>
    <row r="217">
      <c r="B217" s="28"/>
      <c r="C217" s="28"/>
      <c r="D217" s="28"/>
      <c r="E217" s="29"/>
      <c r="F217" s="29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</row>
    <row r="218">
      <c r="B218" s="28"/>
      <c r="C218" s="28"/>
      <c r="D218" s="28"/>
      <c r="E218" s="29"/>
      <c r="F218" s="29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</row>
    <row r="219">
      <c r="B219" s="28"/>
      <c r="C219" s="28"/>
      <c r="D219" s="28"/>
      <c r="E219" s="29"/>
      <c r="F219" s="29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</row>
    <row r="220">
      <c r="B220" s="28"/>
      <c r="C220" s="28"/>
      <c r="D220" s="28"/>
      <c r="E220" s="29"/>
      <c r="F220" s="29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</row>
    <row r="221">
      <c r="B221" s="28"/>
      <c r="C221" s="28"/>
      <c r="D221" s="28"/>
      <c r="E221" s="29"/>
      <c r="F221" s="29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</row>
    <row r="222">
      <c r="B222" s="28"/>
      <c r="C222" s="28"/>
      <c r="D222" s="28"/>
      <c r="E222" s="29"/>
      <c r="F222" s="29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</row>
    <row r="223">
      <c r="B223" s="28"/>
      <c r="C223" s="28"/>
      <c r="D223" s="28"/>
      <c r="E223" s="29"/>
      <c r="F223" s="29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</row>
    <row r="224">
      <c r="B224" s="28"/>
      <c r="C224" s="28"/>
      <c r="D224" s="28"/>
      <c r="E224" s="29"/>
      <c r="F224" s="29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</row>
    <row r="225">
      <c r="B225" s="28"/>
      <c r="C225" s="28"/>
      <c r="D225" s="28"/>
      <c r="E225" s="29"/>
      <c r="F225" s="29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</row>
    <row r="226">
      <c r="B226" s="28"/>
      <c r="C226" s="28"/>
      <c r="D226" s="28"/>
      <c r="E226" s="29"/>
      <c r="F226" s="29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</row>
    <row r="227">
      <c r="B227" s="28"/>
      <c r="C227" s="28"/>
      <c r="D227" s="28"/>
      <c r="E227" s="29"/>
      <c r="F227" s="29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</row>
    <row r="228">
      <c r="B228" s="28"/>
      <c r="C228" s="28"/>
      <c r="D228" s="28"/>
      <c r="E228" s="29"/>
      <c r="F228" s="29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</row>
    <row r="229">
      <c r="B229" s="28"/>
      <c r="C229" s="28"/>
      <c r="D229" s="28"/>
      <c r="E229" s="29"/>
      <c r="F229" s="29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</row>
    <row r="230">
      <c r="B230" s="28"/>
      <c r="C230" s="28"/>
      <c r="D230" s="28"/>
      <c r="E230" s="29"/>
      <c r="F230" s="29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</row>
    <row r="231">
      <c r="B231" s="28"/>
      <c r="C231" s="28"/>
      <c r="D231" s="28"/>
      <c r="E231" s="29"/>
      <c r="F231" s="29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</row>
    <row r="232">
      <c r="B232" s="28"/>
      <c r="C232" s="28"/>
      <c r="D232" s="28"/>
      <c r="E232" s="29"/>
      <c r="F232" s="29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</row>
    <row r="233">
      <c r="B233" s="28"/>
      <c r="C233" s="28"/>
      <c r="D233" s="28"/>
      <c r="E233" s="29"/>
      <c r="F233" s="29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</row>
    <row r="234">
      <c r="B234" s="28"/>
      <c r="C234" s="28"/>
      <c r="D234" s="28"/>
      <c r="E234" s="29"/>
      <c r="F234" s="29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</row>
    <row r="235">
      <c r="B235" s="28"/>
      <c r="C235" s="28"/>
      <c r="D235" s="28"/>
      <c r="E235" s="29"/>
      <c r="F235" s="29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</row>
    <row r="236">
      <c r="B236" s="28"/>
      <c r="C236" s="28"/>
      <c r="D236" s="28"/>
      <c r="E236" s="29"/>
      <c r="F236" s="29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</row>
    <row r="237">
      <c r="B237" s="28"/>
      <c r="C237" s="28"/>
      <c r="D237" s="28"/>
      <c r="E237" s="29"/>
      <c r="F237" s="29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</row>
    <row r="238">
      <c r="B238" s="28"/>
      <c r="C238" s="28"/>
      <c r="D238" s="28"/>
      <c r="E238" s="29"/>
      <c r="F238" s="29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</row>
    <row r="239">
      <c r="B239" s="28"/>
      <c r="C239" s="28"/>
      <c r="D239" s="28"/>
      <c r="E239" s="29"/>
      <c r="F239" s="29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</row>
    <row r="240">
      <c r="B240" s="28"/>
      <c r="C240" s="28"/>
      <c r="D240" s="28"/>
      <c r="E240" s="29"/>
      <c r="F240" s="29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</row>
    <row r="241">
      <c r="B241" s="28"/>
      <c r="C241" s="28"/>
      <c r="D241" s="28"/>
      <c r="E241" s="29"/>
      <c r="F241" s="29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</row>
    <row r="242">
      <c r="B242" s="28"/>
      <c r="C242" s="28"/>
      <c r="D242" s="28"/>
      <c r="E242" s="29"/>
      <c r="F242" s="29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</row>
    <row r="243">
      <c r="B243" s="28"/>
      <c r="C243" s="28"/>
      <c r="D243" s="28"/>
      <c r="E243" s="29"/>
      <c r="F243" s="29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</row>
    <row r="244">
      <c r="B244" s="28"/>
      <c r="C244" s="28"/>
      <c r="D244" s="28"/>
      <c r="E244" s="29"/>
      <c r="F244" s="29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</row>
    <row r="245">
      <c r="B245" s="28"/>
      <c r="C245" s="28"/>
      <c r="D245" s="28"/>
      <c r="E245" s="29"/>
      <c r="F245" s="29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>
      <c r="B246" s="28"/>
      <c r="C246" s="28"/>
      <c r="D246" s="28"/>
      <c r="E246" s="29"/>
      <c r="F246" s="29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>
      <c r="B247" s="28"/>
      <c r="C247" s="28"/>
      <c r="D247" s="28"/>
      <c r="E247" s="29"/>
      <c r="F247" s="29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>
      <c r="B248" s="28"/>
      <c r="C248" s="28"/>
      <c r="D248" s="28"/>
      <c r="E248" s="29"/>
      <c r="F248" s="29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>
      <c r="B249" s="28"/>
      <c r="C249" s="28"/>
      <c r="D249" s="28"/>
      <c r="E249" s="29"/>
      <c r="F249" s="29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</row>
    <row r="250">
      <c r="B250" s="28"/>
      <c r="C250" s="28"/>
      <c r="D250" s="28"/>
      <c r="E250" s="29"/>
      <c r="F250" s="29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</row>
    <row r="251">
      <c r="B251" s="28"/>
      <c r="C251" s="28"/>
      <c r="D251" s="28"/>
      <c r="E251" s="29"/>
      <c r="F251" s="29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>
      <c r="B252" s="28"/>
      <c r="C252" s="28"/>
      <c r="D252" s="28"/>
      <c r="E252" s="29"/>
      <c r="F252" s="29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>
      <c r="B253" s="28"/>
      <c r="C253" s="28"/>
      <c r="D253" s="28"/>
      <c r="E253" s="29"/>
      <c r="F253" s="29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>
      <c r="B254" s="28"/>
      <c r="C254" s="28"/>
      <c r="D254" s="28"/>
      <c r="E254" s="29"/>
      <c r="F254" s="29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</row>
    <row r="255">
      <c r="B255" s="28"/>
      <c r="C255" s="28"/>
      <c r="D255" s="28"/>
      <c r="E255" s="29"/>
      <c r="F255" s="29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>
      <c r="B256" s="28"/>
      <c r="C256" s="28"/>
      <c r="D256" s="28"/>
      <c r="E256" s="29"/>
      <c r="F256" s="29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>
      <c r="B257" s="28"/>
      <c r="C257" s="28"/>
      <c r="D257" s="28"/>
      <c r="E257" s="29"/>
      <c r="F257" s="29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>
      <c r="B258" s="28"/>
      <c r="C258" s="28"/>
      <c r="D258" s="28"/>
      <c r="E258" s="29"/>
      <c r="F258" s="29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>
      <c r="B259" s="28"/>
      <c r="C259" s="28"/>
      <c r="D259" s="28"/>
      <c r="E259" s="29"/>
      <c r="F259" s="29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>
      <c r="B260" s="28"/>
      <c r="C260" s="28"/>
      <c r="D260" s="28"/>
      <c r="E260" s="29"/>
      <c r="F260" s="29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>
      <c r="B261" s="28"/>
      <c r="C261" s="28"/>
      <c r="D261" s="28"/>
      <c r="E261" s="29"/>
      <c r="F261" s="29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>
      <c r="B262" s="28"/>
      <c r="C262" s="28"/>
      <c r="D262" s="28"/>
      <c r="E262" s="29"/>
      <c r="F262" s="29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>
      <c r="B263" s="28"/>
      <c r="C263" s="28"/>
      <c r="D263" s="28"/>
      <c r="E263" s="29"/>
      <c r="F263" s="29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>
      <c r="B264" s="28"/>
      <c r="C264" s="28"/>
      <c r="D264" s="28"/>
      <c r="E264" s="29"/>
      <c r="F264" s="29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>
      <c r="B265" s="28"/>
      <c r="C265" s="28"/>
      <c r="D265" s="28"/>
      <c r="E265" s="29"/>
      <c r="F265" s="29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</row>
    <row r="266">
      <c r="B266" s="28"/>
      <c r="C266" s="28"/>
      <c r="D266" s="28"/>
      <c r="E266" s="29"/>
      <c r="F266" s="29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>
      <c r="B267" s="28"/>
      <c r="C267" s="28"/>
      <c r="D267" s="28"/>
      <c r="E267" s="29"/>
      <c r="F267" s="29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</row>
    <row r="268">
      <c r="B268" s="28"/>
      <c r="C268" s="28"/>
      <c r="D268" s="28"/>
      <c r="E268" s="29"/>
      <c r="F268" s="29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</row>
    <row r="269">
      <c r="B269" s="28"/>
      <c r="C269" s="28"/>
      <c r="D269" s="28"/>
      <c r="E269" s="29"/>
      <c r="F269" s="29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</row>
    <row r="270">
      <c r="B270" s="28"/>
      <c r="C270" s="28"/>
      <c r="D270" s="28"/>
      <c r="E270" s="29"/>
      <c r="F270" s="29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>
      <c r="B271" s="28"/>
      <c r="C271" s="28"/>
      <c r="D271" s="28"/>
      <c r="E271" s="29"/>
      <c r="F271" s="29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</row>
    <row r="272">
      <c r="B272" s="28"/>
      <c r="C272" s="28"/>
      <c r="D272" s="28"/>
      <c r="E272" s="29"/>
      <c r="F272" s="29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>
      <c r="B273" s="28"/>
      <c r="C273" s="28"/>
      <c r="D273" s="28"/>
      <c r="E273" s="29"/>
      <c r="F273" s="29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</row>
    <row r="274">
      <c r="B274" s="28"/>
      <c r="C274" s="28"/>
      <c r="D274" s="28"/>
      <c r="E274" s="29"/>
      <c r="F274" s="29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</row>
    <row r="275">
      <c r="B275" s="28"/>
      <c r="C275" s="28"/>
      <c r="D275" s="28"/>
      <c r="E275" s="29"/>
      <c r="F275" s="29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>
      <c r="B276" s="28"/>
      <c r="C276" s="28"/>
      <c r="D276" s="28"/>
      <c r="E276" s="29"/>
      <c r="F276" s="29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>
      <c r="B277" s="28"/>
      <c r="C277" s="28"/>
      <c r="D277" s="28"/>
      <c r="E277" s="29"/>
      <c r="F277" s="29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>
      <c r="B278" s="28"/>
      <c r="C278" s="28"/>
      <c r="D278" s="28"/>
      <c r="E278" s="29"/>
      <c r="F278" s="29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>
      <c r="B279" s="28"/>
      <c r="C279" s="28"/>
      <c r="D279" s="28"/>
      <c r="E279" s="29"/>
      <c r="F279" s="29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</row>
    <row r="280">
      <c r="B280" s="28"/>
      <c r="C280" s="28"/>
      <c r="D280" s="28"/>
      <c r="E280" s="29"/>
      <c r="F280" s="29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>
      <c r="B281" s="28"/>
      <c r="C281" s="28"/>
      <c r="D281" s="28"/>
      <c r="E281" s="29"/>
      <c r="F281" s="29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</row>
    <row r="282">
      <c r="B282" s="28"/>
      <c r="C282" s="28"/>
      <c r="D282" s="28"/>
      <c r="E282" s="29"/>
      <c r="F282" s="29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</row>
    <row r="283">
      <c r="B283" s="28"/>
      <c r="C283" s="28"/>
      <c r="D283" s="28"/>
      <c r="E283" s="29"/>
      <c r="F283" s="29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</row>
    <row r="284">
      <c r="B284" s="28"/>
      <c r="C284" s="28"/>
      <c r="D284" s="28"/>
      <c r="E284" s="29"/>
      <c r="F284" s="29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</row>
    <row r="285">
      <c r="B285" s="28"/>
      <c r="C285" s="28"/>
      <c r="D285" s="28"/>
      <c r="E285" s="29"/>
      <c r="F285" s="29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</row>
    <row r="286">
      <c r="B286" s="28"/>
      <c r="C286" s="28"/>
      <c r="D286" s="28"/>
      <c r="E286" s="29"/>
      <c r="F286" s="29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>
      <c r="B287" s="28"/>
      <c r="C287" s="28"/>
      <c r="D287" s="28"/>
      <c r="E287" s="29"/>
      <c r="F287" s="29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>
      <c r="B288" s="28"/>
      <c r="C288" s="28"/>
      <c r="D288" s="28"/>
      <c r="E288" s="29"/>
      <c r="F288" s="29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</row>
    <row r="289">
      <c r="B289" s="28"/>
      <c r="C289" s="28"/>
      <c r="D289" s="28"/>
      <c r="E289" s="29"/>
      <c r="F289" s="29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</row>
    <row r="290">
      <c r="B290" s="28"/>
      <c r="C290" s="28"/>
      <c r="D290" s="28"/>
      <c r="E290" s="29"/>
      <c r="F290" s="29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</row>
    <row r="291">
      <c r="B291" s="28"/>
      <c r="C291" s="28"/>
      <c r="D291" s="28"/>
      <c r="E291" s="29"/>
      <c r="F291" s="29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</row>
    <row r="292">
      <c r="B292" s="28"/>
      <c r="C292" s="28"/>
      <c r="D292" s="28"/>
      <c r="E292" s="29"/>
      <c r="F292" s="29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</row>
    <row r="293">
      <c r="B293" s="28"/>
      <c r="C293" s="28"/>
      <c r="D293" s="28"/>
      <c r="E293" s="29"/>
      <c r="F293" s="29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</row>
    <row r="294">
      <c r="B294" s="28"/>
      <c r="C294" s="28"/>
      <c r="D294" s="28"/>
      <c r="E294" s="29"/>
      <c r="F294" s="29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</row>
    <row r="295">
      <c r="B295" s="28"/>
      <c r="C295" s="28"/>
      <c r="D295" s="28"/>
      <c r="E295" s="29"/>
      <c r="F295" s="29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</row>
    <row r="296">
      <c r="B296" s="28"/>
      <c r="C296" s="28"/>
      <c r="D296" s="28"/>
      <c r="E296" s="29"/>
      <c r="F296" s="29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</row>
    <row r="297">
      <c r="B297" s="28"/>
      <c r="C297" s="28"/>
      <c r="D297" s="28"/>
      <c r="E297" s="29"/>
      <c r="F297" s="29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</row>
    <row r="298">
      <c r="B298" s="28"/>
      <c r="C298" s="28"/>
      <c r="D298" s="28"/>
      <c r="E298" s="29"/>
      <c r="F298" s="29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</row>
    <row r="299">
      <c r="B299" s="28"/>
      <c r="C299" s="28"/>
      <c r="D299" s="28"/>
      <c r="E299" s="29"/>
      <c r="F299" s="29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</row>
    <row r="300">
      <c r="B300" s="28"/>
      <c r="C300" s="28"/>
      <c r="D300" s="28"/>
      <c r="E300" s="29"/>
      <c r="F300" s="29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</row>
    <row r="301">
      <c r="B301" s="28"/>
      <c r="C301" s="28"/>
      <c r="D301" s="28"/>
      <c r="E301" s="29"/>
      <c r="F301" s="29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</row>
    <row r="302">
      <c r="B302" s="28"/>
      <c r="C302" s="28"/>
      <c r="D302" s="28"/>
      <c r="E302" s="29"/>
      <c r="F302" s="29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</row>
    <row r="303">
      <c r="B303" s="28"/>
      <c r="C303" s="28"/>
      <c r="D303" s="28"/>
      <c r="E303" s="29"/>
      <c r="F303" s="29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</row>
    <row r="304">
      <c r="B304" s="28"/>
      <c r="C304" s="28"/>
      <c r="D304" s="28"/>
      <c r="E304" s="29"/>
      <c r="F304" s="29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</row>
    <row r="305">
      <c r="B305" s="28"/>
      <c r="C305" s="28"/>
      <c r="D305" s="28"/>
      <c r="E305" s="29"/>
      <c r="F305" s="29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</row>
    <row r="306">
      <c r="B306" s="28"/>
      <c r="C306" s="28"/>
      <c r="D306" s="28"/>
      <c r="E306" s="29"/>
      <c r="F306" s="29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</row>
    <row r="307">
      <c r="B307" s="28"/>
      <c r="C307" s="28"/>
      <c r="D307" s="28"/>
      <c r="E307" s="29"/>
      <c r="F307" s="29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</row>
    <row r="308">
      <c r="B308" s="28"/>
      <c r="C308" s="28"/>
      <c r="D308" s="28"/>
      <c r="E308" s="29"/>
      <c r="F308" s="29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</row>
    <row r="309">
      <c r="B309" s="28"/>
      <c r="C309" s="28"/>
      <c r="D309" s="28"/>
      <c r="E309" s="29"/>
      <c r="F309" s="29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</row>
    <row r="310">
      <c r="B310" s="28"/>
      <c r="C310" s="28"/>
      <c r="D310" s="28"/>
      <c r="E310" s="29"/>
      <c r="F310" s="29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</row>
    <row r="311">
      <c r="B311" s="28"/>
      <c r="C311" s="28"/>
      <c r="D311" s="28"/>
      <c r="E311" s="29"/>
      <c r="F311" s="29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</row>
    <row r="312">
      <c r="B312" s="28"/>
      <c r="C312" s="28"/>
      <c r="D312" s="28"/>
      <c r="E312" s="29"/>
      <c r="F312" s="29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</row>
    <row r="313">
      <c r="B313" s="28"/>
      <c r="C313" s="28"/>
      <c r="D313" s="28"/>
      <c r="E313" s="29"/>
      <c r="F313" s="29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</row>
    <row r="314">
      <c r="B314" s="28"/>
      <c r="C314" s="28"/>
      <c r="D314" s="28"/>
      <c r="E314" s="29"/>
      <c r="F314" s="29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</row>
    <row r="315">
      <c r="B315" s="28"/>
      <c r="C315" s="28"/>
      <c r="D315" s="28"/>
      <c r="E315" s="29"/>
      <c r="F315" s="29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</row>
    <row r="316">
      <c r="B316" s="28"/>
      <c r="C316" s="28"/>
      <c r="D316" s="28"/>
      <c r="E316" s="29"/>
      <c r="F316" s="29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</row>
    <row r="317">
      <c r="B317" s="28"/>
      <c r="C317" s="28"/>
      <c r="D317" s="28"/>
      <c r="E317" s="29"/>
      <c r="F317" s="29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</row>
    <row r="318">
      <c r="B318" s="28"/>
      <c r="C318" s="28"/>
      <c r="D318" s="28"/>
      <c r="E318" s="29"/>
      <c r="F318" s="29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</row>
    <row r="319">
      <c r="B319" s="28"/>
      <c r="C319" s="28"/>
      <c r="D319" s="28"/>
      <c r="E319" s="29"/>
      <c r="F319" s="29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</row>
    <row r="320">
      <c r="B320" s="28"/>
      <c r="C320" s="28"/>
      <c r="D320" s="28"/>
      <c r="E320" s="29"/>
      <c r="F320" s="29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</row>
    <row r="321">
      <c r="B321" s="28"/>
      <c r="C321" s="28"/>
      <c r="D321" s="28"/>
      <c r="E321" s="29"/>
      <c r="F321" s="29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</row>
    <row r="322">
      <c r="B322" s="28"/>
      <c r="C322" s="28"/>
      <c r="D322" s="28"/>
      <c r="E322" s="29"/>
      <c r="F322" s="29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</row>
    <row r="323">
      <c r="B323" s="28"/>
      <c r="C323" s="28"/>
      <c r="D323" s="28"/>
      <c r="E323" s="29"/>
      <c r="F323" s="29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</row>
    <row r="324">
      <c r="B324" s="28"/>
      <c r="C324" s="28"/>
      <c r="D324" s="28"/>
      <c r="E324" s="29"/>
      <c r="F324" s="29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</row>
    <row r="325">
      <c r="B325" s="28"/>
      <c r="C325" s="28"/>
      <c r="D325" s="28"/>
      <c r="E325" s="29"/>
      <c r="F325" s="29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</row>
    <row r="326">
      <c r="B326" s="28"/>
      <c r="C326" s="28"/>
      <c r="D326" s="28"/>
      <c r="E326" s="29"/>
      <c r="F326" s="29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</row>
    <row r="327">
      <c r="B327" s="28"/>
      <c r="C327" s="28"/>
      <c r="D327" s="28"/>
      <c r="E327" s="29"/>
      <c r="F327" s="29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</row>
    <row r="328">
      <c r="B328" s="28"/>
      <c r="C328" s="28"/>
      <c r="D328" s="28"/>
      <c r="E328" s="29"/>
      <c r="F328" s="29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</row>
    <row r="329">
      <c r="B329" s="28"/>
      <c r="C329" s="28"/>
      <c r="D329" s="28"/>
      <c r="E329" s="29"/>
      <c r="F329" s="29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</row>
    <row r="330">
      <c r="B330" s="28"/>
      <c r="C330" s="28"/>
      <c r="D330" s="28"/>
      <c r="E330" s="29"/>
      <c r="F330" s="29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</row>
    <row r="331">
      <c r="B331" s="28"/>
      <c r="C331" s="28"/>
      <c r="D331" s="28"/>
      <c r="E331" s="29"/>
      <c r="F331" s="29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</row>
    <row r="332">
      <c r="B332" s="28"/>
      <c r="C332" s="28"/>
      <c r="D332" s="28"/>
      <c r="E332" s="29"/>
      <c r="F332" s="29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</row>
    <row r="333">
      <c r="B333" s="28"/>
      <c r="C333" s="28"/>
      <c r="D333" s="28"/>
      <c r="E333" s="29"/>
      <c r="F333" s="29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</row>
    <row r="334">
      <c r="B334" s="28"/>
      <c r="C334" s="28"/>
      <c r="D334" s="28"/>
      <c r="E334" s="29"/>
      <c r="F334" s="29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</row>
    <row r="335">
      <c r="B335" s="28"/>
      <c r="C335" s="28"/>
      <c r="D335" s="28"/>
      <c r="E335" s="29"/>
      <c r="F335" s="29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</row>
    <row r="336">
      <c r="B336" s="28"/>
      <c r="C336" s="28"/>
      <c r="D336" s="28"/>
      <c r="E336" s="29"/>
      <c r="F336" s="29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</row>
    <row r="337">
      <c r="B337" s="28"/>
      <c r="C337" s="28"/>
      <c r="D337" s="28"/>
      <c r="E337" s="29"/>
      <c r="F337" s="29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</row>
    <row r="338">
      <c r="B338" s="28"/>
      <c r="C338" s="28"/>
      <c r="D338" s="28"/>
      <c r="E338" s="29"/>
      <c r="F338" s="29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</row>
    <row r="339">
      <c r="B339" s="28"/>
      <c r="C339" s="28"/>
      <c r="D339" s="28"/>
      <c r="E339" s="29"/>
      <c r="F339" s="29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</row>
    <row r="340">
      <c r="B340" s="28"/>
      <c r="C340" s="28"/>
      <c r="D340" s="28"/>
      <c r="E340" s="29"/>
      <c r="F340" s="29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</row>
    <row r="341">
      <c r="B341" s="28"/>
      <c r="C341" s="28"/>
      <c r="D341" s="28"/>
      <c r="E341" s="29"/>
      <c r="F341" s="29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</row>
    <row r="342">
      <c r="B342" s="28"/>
      <c r="C342" s="28"/>
      <c r="D342" s="28"/>
      <c r="E342" s="29"/>
      <c r="F342" s="29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</row>
    <row r="343">
      <c r="B343" s="28"/>
      <c r="C343" s="28"/>
      <c r="D343" s="28"/>
      <c r="E343" s="29"/>
      <c r="F343" s="29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</row>
    <row r="344">
      <c r="B344" s="28"/>
      <c r="C344" s="28"/>
      <c r="D344" s="28"/>
      <c r="E344" s="29"/>
      <c r="F344" s="29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</row>
    <row r="345">
      <c r="B345" s="28"/>
      <c r="C345" s="28"/>
      <c r="D345" s="28"/>
      <c r="E345" s="29"/>
      <c r="F345" s="29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</row>
    <row r="346">
      <c r="B346" s="28"/>
      <c r="C346" s="28"/>
      <c r="D346" s="28"/>
      <c r="E346" s="29"/>
      <c r="F346" s="29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</row>
    <row r="347">
      <c r="B347" s="28"/>
      <c r="C347" s="28"/>
      <c r="D347" s="28"/>
      <c r="E347" s="29"/>
      <c r="F347" s="29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</row>
    <row r="348">
      <c r="B348" s="28"/>
      <c r="C348" s="28"/>
      <c r="D348" s="28"/>
      <c r="E348" s="29"/>
      <c r="F348" s="29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</row>
    <row r="349">
      <c r="B349" s="28"/>
      <c r="C349" s="28"/>
      <c r="D349" s="28"/>
      <c r="E349" s="29"/>
      <c r="F349" s="29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</row>
    <row r="350">
      <c r="B350" s="28"/>
      <c r="C350" s="28"/>
      <c r="D350" s="28"/>
      <c r="E350" s="29"/>
      <c r="F350" s="29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</row>
    <row r="351">
      <c r="B351" s="28"/>
      <c r="C351" s="28"/>
      <c r="D351" s="28"/>
      <c r="E351" s="29"/>
      <c r="F351" s="29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</row>
    <row r="352">
      <c r="B352" s="28"/>
      <c r="C352" s="28"/>
      <c r="D352" s="28"/>
      <c r="E352" s="29"/>
      <c r="F352" s="29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</row>
    <row r="353">
      <c r="B353" s="28"/>
      <c r="C353" s="28"/>
      <c r="D353" s="28"/>
      <c r="E353" s="29"/>
      <c r="F353" s="29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</row>
    <row r="354">
      <c r="B354" s="28"/>
      <c r="C354" s="28"/>
      <c r="D354" s="28"/>
      <c r="E354" s="29"/>
      <c r="F354" s="29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</row>
    <row r="355">
      <c r="B355" s="28"/>
      <c r="C355" s="28"/>
      <c r="D355" s="28"/>
      <c r="E355" s="29"/>
      <c r="F355" s="29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</row>
    <row r="356">
      <c r="B356" s="28"/>
      <c r="C356" s="28"/>
      <c r="D356" s="28"/>
      <c r="E356" s="29"/>
      <c r="F356" s="29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</row>
    <row r="357">
      <c r="B357" s="28"/>
      <c r="C357" s="28"/>
      <c r="D357" s="28"/>
      <c r="E357" s="29"/>
      <c r="F357" s="29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</row>
    <row r="358">
      <c r="B358" s="28"/>
      <c r="C358" s="28"/>
      <c r="D358" s="28"/>
      <c r="E358" s="29"/>
      <c r="F358" s="29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</row>
    <row r="359">
      <c r="B359" s="28"/>
      <c r="C359" s="28"/>
      <c r="D359" s="28"/>
      <c r="E359" s="29"/>
      <c r="F359" s="29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</row>
    <row r="360">
      <c r="B360" s="28"/>
      <c r="C360" s="28"/>
      <c r="D360" s="28"/>
      <c r="E360" s="29"/>
      <c r="F360" s="29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</row>
    <row r="361">
      <c r="B361" s="28"/>
      <c r="C361" s="28"/>
      <c r="D361" s="28"/>
      <c r="E361" s="29"/>
      <c r="F361" s="29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</row>
    <row r="362">
      <c r="B362" s="28"/>
      <c r="C362" s="28"/>
      <c r="D362" s="28"/>
      <c r="E362" s="29"/>
      <c r="F362" s="29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</row>
    <row r="363">
      <c r="B363" s="28"/>
      <c r="C363" s="28"/>
      <c r="D363" s="28"/>
      <c r="E363" s="29"/>
      <c r="F363" s="29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</row>
    <row r="364">
      <c r="B364" s="28"/>
      <c r="C364" s="28"/>
      <c r="D364" s="28"/>
      <c r="E364" s="29"/>
      <c r="F364" s="29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</row>
    <row r="365">
      <c r="B365" s="28"/>
      <c r="C365" s="28"/>
      <c r="D365" s="28"/>
      <c r="E365" s="29"/>
      <c r="F365" s="29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</row>
    <row r="366">
      <c r="B366" s="28"/>
      <c r="C366" s="28"/>
      <c r="D366" s="28"/>
      <c r="E366" s="29"/>
      <c r="F366" s="29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</row>
    <row r="367">
      <c r="B367" s="28"/>
      <c r="C367" s="28"/>
      <c r="D367" s="28"/>
      <c r="E367" s="29"/>
      <c r="F367" s="29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</row>
    <row r="368">
      <c r="B368" s="28"/>
      <c r="C368" s="28"/>
      <c r="D368" s="28"/>
      <c r="E368" s="29"/>
      <c r="F368" s="29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</row>
    <row r="369">
      <c r="B369" s="28"/>
      <c r="C369" s="28"/>
      <c r="D369" s="28"/>
      <c r="E369" s="29"/>
      <c r="F369" s="29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</row>
    <row r="370">
      <c r="B370" s="28"/>
      <c r="C370" s="28"/>
      <c r="D370" s="28"/>
      <c r="E370" s="29"/>
      <c r="F370" s="29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</row>
    <row r="371">
      <c r="B371" s="28"/>
      <c r="C371" s="28"/>
      <c r="D371" s="28"/>
      <c r="E371" s="29"/>
      <c r="F371" s="29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</row>
    <row r="372">
      <c r="B372" s="28"/>
      <c r="C372" s="28"/>
      <c r="D372" s="28"/>
      <c r="E372" s="29"/>
      <c r="F372" s="29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</row>
    <row r="373">
      <c r="B373" s="28"/>
      <c r="C373" s="28"/>
      <c r="D373" s="28"/>
      <c r="E373" s="29"/>
      <c r="F373" s="29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</row>
    <row r="374">
      <c r="B374" s="28"/>
      <c r="C374" s="28"/>
      <c r="D374" s="28"/>
      <c r="E374" s="29"/>
      <c r="F374" s="29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</row>
    <row r="375">
      <c r="B375" s="28"/>
      <c r="C375" s="28"/>
      <c r="D375" s="28"/>
      <c r="E375" s="29"/>
      <c r="F375" s="29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</row>
    <row r="376">
      <c r="B376" s="28"/>
      <c r="C376" s="28"/>
      <c r="D376" s="28"/>
      <c r="E376" s="29"/>
      <c r="F376" s="29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</row>
    <row r="377">
      <c r="B377" s="28"/>
      <c r="C377" s="28"/>
      <c r="D377" s="28"/>
      <c r="E377" s="29"/>
      <c r="F377" s="29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</row>
    <row r="378">
      <c r="B378" s="28"/>
      <c r="C378" s="28"/>
      <c r="D378" s="28"/>
      <c r="E378" s="29"/>
      <c r="F378" s="29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</row>
    <row r="379">
      <c r="B379" s="28"/>
      <c r="C379" s="28"/>
      <c r="D379" s="28"/>
      <c r="E379" s="29"/>
      <c r="F379" s="29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</row>
    <row r="380">
      <c r="B380" s="28"/>
      <c r="C380" s="28"/>
      <c r="D380" s="28"/>
      <c r="E380" s="29"/>
      <c r="F380" s="29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</row>
    <row r="381">
      <c r="B381" s="28"/>
      <c r="C381" s="28"/>
      <c r="D381" s="28"/>
      <c r="E381" s="29"/>
      <c r="F381" s="29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</row>
    <row r="382">
      <c r="B382" s="28"/>
      <c r="C382" s="28"/>
      <c r="D382" s="28"/>
      <c r="E382" s="29"/>
      <c r="F382" s="29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</row>
    <row r="383">
      <c r="B383" s="28"/>
      <c r="C383" s="28"/>
      <c r="D383" s="28"/>
      <c r="E383" s="29"/>
      <c r="F383" s="29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</row>
    <row r="384">
      <c r="B384" s="28"/>
      <c r="C384" s="28"/>
      <c r="D384" s="28"/>
      <c r="E384" s="29"/>
      <c r="F384" s="29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</row>
    <row r="385">
      <c r="B385" s="28"/>
      <c r="C385" s="28"/>
      <c r="D385" s="28"/>
      <c r="E385" s="29"/>
      <c r="F385" s="29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</row>
    <row r="386">
      <c r="B386" s="28"/>
      <c r="C386" s="28"/>
      <c r="D386" s="28"/>
      <c r="E386" s="29"/>
      <c r="F386" s="29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</row>
    <row r="387">
      <c r="B387" s="28"/>
      <c r="C387" s="28"/>
      <c r="D387" s="28"/>
      <c r="E387" s="29"/>
      <c r="F387" s="29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</row>
    <row r="388">
      <c r="B388" s="28"/>
      <c r="C388" s="28"/>
      <c r="D388" s="28"/>
      <c r="E388" s="29"/>
      <c r="F388" s="29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</row>
    <row r="389">
      <c r="B389" s="28"/>
      <c r="C389" s="28"/>
      <c r="D389" s="28"/>
      <c r="E389" s="29"/>
      <c r="F389" s="29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</row>
    <row r="390">
      <c r="B390" s="28"/>
      <c r="C390" s="28"/>
      <c r="D390" s="28"/>
      <c r="E390" s="29"/>
      <c r="F390" s="29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</row>
    <row r="391">
      <c r="B391" s="28"/>
      <c r="C391" s="28"/>
      <c r="D391" s="28"/>
      <c r="E391" s="29"/>
      <c r="F391" s="29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</row>
    <row r="392">
      <c r="B392" s="28"/>
      <c r="C392" s="28"/>
      <c r="D392" s="28"/>
      <c r="E392" s="29"/>
      <c r="F392" s="29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</row>
    <row r="393">
      <c r="B393" s="28"/>
      <c r="C393" s="28"/>
      <c r="D393" s="28"/>
      <c r="E393" s="29"/>
      <c r="F393" s="29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</row>
    <row r="394">
      <c r="B394" s="28"/>
      <c r="C394" s="28"/>
      <c r="D394" s="28"/>
      <c r="E394" s="29"/>
      <c r="F394" s="29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</row>
    <row r="395">
      <c r="B395" s="28"/>
      <c r="C395" s="28"/>
      <c r="D395" s="28"/>
      <c r="E395" s="29"/>
      <c r="F395" s="29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</row>
    <row r="396">
      <c r="B396" s="28"/>
      <c r="C396" s="28"/>
      <c r="D396" s="28"/>
      <c r="E396" s="29"/>
      <c r="F396" s="29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</row>
    <row r="397">
      <c r="B397" s="28"/>
      <c r="C397" s="28"/>
      <c r="D397" s="28"/>
      <c r="E397" s="29"/>
      <c r="F397" s="29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</row>
    <row r="398">
      <c r="B398" s="28"/>
      <c r="C398" s="28"/>
      <c r="D398" s="28"/>
      <c r="E398" s="29"/>
      <c r="F398" s="29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</row>
    <row r="399">
      <c r="B399" s="28"/>
      <c r="C399" s="28"/>
      <c r="D399" s="28"/>
      <c r="E399" s="29"/>
      <c r="F399" s="29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</row>
    <row r="400">
      <c r="B400" s="28"/>
      <c r="C400" s="28"/>
      <c r="D400" s="28"/>
      <c r="E400" s="29"/>
      <c r="F400" s="29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</row>
    <row r="401">
      <c r="B401" s="28"/>
      <c r="C401" s="28"/>
      <c r="D401" s="28"/>
      <c r="E401" s="29"/>
      <c r="F401" s="29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</row>
    <row r="402">
      <c r="B402" s="28"/>
      <c r="C402" s="28"/>
      <c r="D402" s="28"/>
      <c r="E402" s="29"/>
      <c r="F402" s="29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</row>
    <row r="403">
      <c r="B403" s="28"/>
      <c r="C403" s="28"/>
      <c r="D403" s="28"/>
      <c r="E403" s="29"/>
      <c r="F403" s="29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</row>
    <row r="404">
      <c r="B404" s="28"/>
      <c r="C404" s="28"/>
      <c r="D404" s="28"/>
      <c r="E404" s="29"/>
      <c r="F404" s="29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</row>
    <row r="405">
      <c r="B405" s="28"/>
      <c r="C405" s="28"/>
      <c r="D405" s="28"/>
      <c r="E405" s="29"/>
      <c r="F405" s="29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</row>
    <row r="406">
      <c r="B406" s="28"/>
      <c r="C406" s="28"/>
      <c r="D406" s="28"/>
      <c r="E406" s="29"/>
      <c r="F406" s="29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</row>
    <row r="407">
      <c r="B407" s="28"/>
      <c r="C407" s="28"/>
      <c r="D407" s="28"/>
      <c r="E407" s="29"/>
      <c r="F407" s="29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</row>
    <row r="408">
      <c r="B408" s="28"/>
      <c r="C408" s="28"/>
      <c r="D408" s="28"/>
      <c r="E408" s="29"/>
      <c r="F408" s="29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</row>
    <row r="409">
      <c r="B409" s="28"/>
      <c r="C409" s="28"/>
      <c r="D409" s="28"/>
      <c r="E409" s="29"/>
      <c r="F409" s="29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</row>
    <row r="410">
      <c r="B410" s="28"/>
      <c r="C410" s="28"/>
      <c r="D410" s="28"/>
      <c r="E410" s="29"/>
      <c r="F410" s="29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</row>
    <row r="411">
      <c r="B411" s="28"/>
      <c r="C411" s="28"/>
      <c r="D411" s="28"/>
      <c r="E411" s="29"/>
      <c r="F411" s="29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</row>
    <row r="412">
      <c r="B412" s="28"/>
      <c r="C412" s="28"/>
      <c r="D412" s="28"/>
      <c r="E412" s="29"/>
      <c r="F412" s="29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</row>
    <row r="413">
      <c r="B413" s="28"/>
      <c r="C413" s="28"/>
      <c r="D413" s="28"/>
      <c r="E413" s="29"/>
      <c r="F413" s="29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</row>
    <row r="414">
      <c r="B414" s="28"/>
      <c r="C414" s="28"/>
      <c r="D414" s="28"/>
      <c r="E414" s="29"/>
      <c r="F414" s="29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</row>
    <row r="415">
      <c r="B415" s="28"/>
      <c r="C415" s="28"/>
      <c r="D415" s="28"/>
      <c r="E415" s="29"/>
      <c r="F415" s="29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</row>
    <row r="416">
      <c r="B416" s="28"/>
      <c r="C416" s="28"/>
      <c r="D416" s="28"/>
      <c r="E416" s="29"/>
      <c r="F416" s="29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</row>
    <row r="417">
      <c r="B417" s="28"/>
      <c r="C417" s="28"/>
      <c r="D417" s="28"/>
      <c r="E417" s="29"/>
      <c r="F417" s="29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</row>
    <row r="418">
      <c r="B418" s="28"/>
      <c r="C418" s="28"/>
      <c r="D418" s="28"/>
      <c r="E418" s="29"/>
      <c r="F418" s="29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</row>
    <row r="419">
      <c r="B419" s="28"/>
      <c r="C419" s="28"/>
      <c r="D419" s="28"/>
      <c r="E419" s="29"/>
      <c r="F419" s="29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</row>
    <row r="420">
      <c r="B420" s="28"/>
      <c r="C420" s="28"/>
      <c r="D420" s="28"/>
      <c r="E420" s="29"/>
      <c r="F420" s="29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</row>
    <row r="421">
      <c r="B421" s="28"/>
      <c r="C421" s="28"/>
      <c r="D421" s="28"/>
      <c r="E421" s="29"/>
      <c r="F421" s="29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</row>
    <row r="422">
      <c r="B422" s="28"/>
      <c r="C422" s="28"/>
      <c r="D422" s="28"/>
      <c r="E422" s="29"/>
      <c r="F422" s="29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</row>
    <row r="423">
      <c r="B423" s="28"/>
      <c r="C423" s="28"/>
      <c r="D423" s="28"/>
      <c r="E423" s="29"/>
      <c r="F423" s="29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</row>
    <row r="424">
      <c r="B424" s="28"/>
      <c r="C424" s="28"/>
      <c r="D424" s="28"/>
      <c r="E424" s="29"/>
      <c r="F424" s="29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</row>
    <row r="425">
      <c r="B425" s="28"/>
      <c r="C425" s="28"/>
      <c r="D425" s="28"/>
      <c r="E425" s="29"/>
      <c r="F425" s="29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</row>
    <row r="426">
      <c r="B426" s="28"/>
      <c r="C426" s="28"/>
      <c r="D426" s="28"/>
      <c r="E426" s="29"/>
      <c r="F426" s="29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</row>
    <row r="427">
      <c r="B427" s="28"/>
      <c r="C427" s="28"/>
      <c r="D427" s="28"/>
      <c r="E427" s="29"/>
      <c r="F427" s="29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</row>
    <row r="428">
      <c r="B428" s="28"/>
      <c r="C428" s="28"/>
      <c r="D428" s="28"/>
      <c r="E428" s="29"/>
      <c r="F428" s="29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</row>
    <row r="429">
      <c r="B429" s="28"/>
      <c r="C429" s="28"/>
      <c r="D429" s="28"/>
      <c r="E429" s="29"/>
      <c r="F429" s="29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</row>
    <row r="430">
      <c r="B430" s="28"/>
      <c r="C430" s="28"/>
      <c r="D430" s="28"/>
      <c r="E430" s="29"/>
      <c r="F430" s="29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</row>
    <row r="431">
      <c r="B431" s="28"/>
      <c r="C431" s="28"/>
      <c r="D431" s="28"/>
      <c r="E431" s="29"/>
      <c r="F431" s="29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</row>
    <row r="432">
      <c r="B432" s="28"/>
      <c r="C432" s="28"/>
      <c r="D432" s="28"/>
      <c r="E432" s="29"/>
      <c r="F432" s="29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</row>
    <row r="433">
      <c r="B433" s="28"/>
      <c r="C433" s="28"/>
      <c r="D433" s="28"/>
      <c r="E433" s="29"/>
      <c r="F433" s="29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</row>
    <row r="434">
      <c r="B434" s="28"/>
      <c r="C434" s="28"/>
      <c r="D434" s="28"/>
      <c r="E434" s="29"/>
      <c r="F434" s="29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</row>
    <row r="435">
      <c r="B435" s="28"/>
      <c r="C435" s="28"/>
      <c r="D435" s="28"/>
      <c r="E435" s="29"/>
      <c r="F435" s="29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</row>
    <row r="436">
      <c r="B436" s="28"/>
      <c r="C436" s="28"/>
      <c r="D436" s="28"/>
      <c r="E436" s="29"/>
      <c r="F436" s="29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</row>
    <row r="437">
      <c r="B437" s="28"/>
      <c r="C437" s="28"/>
      <c r="D437" s="28"/>
      <c r="E437" s="29"/>
      <c r="F437" s="29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</row>
    <row r="438">
      <c r="B438" s="28"/>
      <c r="C438" s="28"/>
      <c r="D438" s="28"/>
      <c r="E438" s="29"/>
      <c r="F438" s="29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</row>
    <row r="439">
      <c r="B439" s="28"/>
      <c r="C439" s="28"/>
      <c r="D439" s="28"/>
      <c r="E439" s="29"/>
      <c r="F439" s="29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</row>
    <row r="440">
      <c r="B440" s="28"/>
      <c r="C440" s="28"/>
      <c r="D440" s="28"/>
      <c r="E440" s="29"/>
      <c r="F440" s="29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</row>
    <row r="441">
      <c r="B441" s="28"/>
      <c r="C441" s="28"/>
      <c r="D441" s="28"/>
      <c r="E441" s="29"/>
      <c r="F441" s="29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</row>
    <row r="442">
      <c r="B442" s="28"/>
      <c r="C442" s="28"/>
      <c r="D442" s="28"/>
      <c r="E442" s="29"/>
      <c r="F442" s="29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</row>
    <row r="443">
      <c r="B443" s="28"/>
      <c r="C443" s="28"/>
      <c r="D443" s="28"/>
      <c r="E443" s="29"/>
      <c r="F443" s="29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</row>
    <row r="444">
      <c r="B444" s="28"/>
      <c r="C444" s="28"/>
      <c r="D444" s="28"/>
      <c r="E444" s="29"/>
      <c r="F444" s="29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</row>
    <row r="445">
      <c r="B445" s="28"/>
      <c r="C445" s="28"/>
      <c r="D445" s="28"/>
      <c r="E445" s="29"/>
      <c r="F445" s="29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</row>
    <row r="446">
      <c r="B446" s="28"/>
      <c r="C446" s="28"/>
      <c r="D446" s="28"/>
      <c r="E446" s="29"/>
      <c r="F446" s="29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</row>
    <row r="447">
      <c r="B447" s="28"/>
      <c r="C447" s="28"/>
      <c r="D447" s="28"/>
      <c r="E447" s="29"/>
      <c r="F447" s="29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</row>
    <row r="448">
      <c r="B448" s="28"/>
      <c r="C448" s="28"/>
      <c r="D448" s="28"/>
      <c r="E448" s="29"/>
      <c r="F448" s="29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</row>
    <row r="449">
      <c r="B449" s="28"/>
      <c r="C449" s="28"/>
      <c r="D449" s="28"/>
      <c r="E449" s="29"/>
      <c r="F449" s="29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</row>
    <row r="450">
      <c r="B450" s="28"/>
      <c r="C450" s="28"/>
      <c r="D450" s="28"/>
      <c r="E450" s="29"/>
      <c r="F450" s="29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</row>
    <row r="451">
      <c r="B451" s="28"/>
      <c r="C451" s="28"/>
      <c r="D451" s="28"/>
      <c r="E451" s="29"/>
      <c r="F451" s="29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</row>
    <row r="452">
      <c r="B452" s="28"/>
      <c r="C452" s="28"/>
      <c r="D452" s="28"/>
      <c r="E452" s="29"/>
      <c r="F452" s="29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</row>
    <row r="453">
      <c r="B453" s="28"/>
      <c r="C453" s="28"/>
      <c r="D453" s="28"/>
      <c r="E453" s="29"/>
      <c r="F453" s="29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</row>
    <row r="454">
      <c r="B454" s="28"/>
      <c r="C454" s="28"/>
      <c r="D454" s="28"/>
      <c r="E454" s="29"/>
      <c r="F454" s="29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</row>
    <row r="455">
      <c r="B455" s="28"/>
      <c r="C455" s="28"/>
      <c r="D455" s="28"/>
      <c r="E455" s="29"/>
      <c r="F455" s="29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</row>
    <row r="456">
      <c r="B456" s="28"/>
      <c r="C456" s="28"/>
      <c r="D456" s="28"/>
      <c r="E456" s="29"/>
      <c r="F456" s="29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</row>
    <row r="457">
      <c r="B457" s="28"/>
      <c r="C457" s="28"/>
      <c r="D457" s="28"/>
      <c r="E457" s="29"/>
      <c r="F457" s="29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</row>
    <row r="458">
      <c r="B458" s="28"/>
      <c r="C458" s="28"/>
      <c r="D458" s="28"/>
      <c r="E458" s="29"/>
      <c r="F458" s="29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</row>
    <row r="459">
      <c r="B459" s="28"/>
      <c r="C459" s="28"/>
      <c r="D459" s="28"/>
      <c r="E459" s="29"/>
      <c r="F459" s="29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</row>
    <row r="460">
      <c r="B460" s="28"/>
      <c r="C460" s="28"/>
      <c r="D460" s="28"/>
      <c r="E460" s="29"/>
      <c r="F460" s="29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</row>
    <row r="461">
      <c r="B461" s="28"/>
      <c r="C461" s="28"/>
      <c r="D461" s="28"/>
      <c r="E461" s="29"/>
      <c r="F461" s="29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</row>
    <row r="462">
      <c r="B462" s="28"/>
      <c r="C462" s="28"/>
      <c r="D462" s="28"/>
      <c r="E462" s="29"/>
      <c r="F462" s="29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</row>
    <row r="463">
      <c r="B463" s="28"/>
      <c r="C463" s="28"/>
      <c r="D463" s="28"/>
      <c r="E463" s="29"/>
      <c r="F463" s="29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</row>
    <row r="464">
      <c r="B464" s="28"/>
      <c r="C464" s="28"/>
      <c r="D464" s="28"/>
      <c r="E464" s="29"/>
      <c r="F464" s="29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</row>
    <row r="465">
      <c r="B465" s="28"/>
      <c r="C465" s="28"/>
      <c r="D465" s="28"/>
      <c r="E465" s="29"/>
      <c r="F465" s="29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</row>
    <row r="466">
      <c r="B466" s="28"/>
      <c r="C466" s="28"/>
      <c r="D466" s="28"/>
      <c r="E466" s="29"/>
      <c r="F466" s="29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</row>
    <row r="467">
      <c r="B467" s="28"/>
      <c r="C467" s="28"/>
      <c r="D467" s="28"/>
      <c r="E467" s="29"/>
      <c r="F467" s="29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</row>
    <row r="468">
      <c r="B468" s="28"/>
      <c r="C468" s="28"/>
      <c r="D468" s="28"/>
      <c r="E468" s="29"/>
      <c r="F468" s="29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</row>
    <row r="469">
      <c r="B469" s="28"/>
      <c r="C469" s="28"/>
      <c r="D469" s="28"/>
      <c r="E469" s="29"/>
      <c r="F469" s="29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</row>
    <row r="470">
      <c r="B470" s="28"/>
      <c r="C470" s="28"/>
      <c r="D470" s="28"/>
      <c r="E470" s="29"/>
      <c r="F470" s="29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</row>
    <row r="471">
      <c r="B471" s="28"/>
      <c r="C471" s="28"/>
      <c r="D471" s="28"/>
      <c r="E471" s="29"/>
      <c r="F471" s="29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</row>
    <row r="472">
      <c r="B472" s="28"/>
      <c r="C472" s="28"/>
      <c r="D472" s="28"/>
      <c r="E472" s="29"/>
      <c r="F472" s="29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</row>
    <row r="473">
      <c r="B473" s="28"/>
      <c r="C473" s="28"/>
      <c r="D473" s="28"/>
      <c r="E473" s="29"/>
      <c r="F473" s="29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</row>
    <row r="474">
      <c r="B474" s="28"/>
      <c r="C474" s="28"/>
      <c r="D474" s="28"/>
      <c r="E474" s="29"/>
      <c r="F474" s="29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</row>
    <row r="475">
      <c r="B475" s="28"/>
      <c r="C475" s="28"/>
      <c r="D475" s="28"/>
      <c r="E475" s="29"/>
      <c r="F475" s="29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</row>
    <row r="476">
      <c r="B476" s="28"/>
      <c r="C476" s="28"/>
      <c r="D476" s="28"/>
      <c r="E476" s="29"/>
      <c r="F476" s="29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</row>
    <row r="477">
      <c r="B477" s="28"/>
      <c r="C477" s="28"/>
      <c r="D477" s="28"/>
      <c r="E477" s="29"/>
      <c r="F477" s="29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</row>
    <row r="478">
      <c r="B478" s="28"/>
      <c r="C478" s="28"/>
      <c r="D478" s="28"/>
      <c r="E478" s="29"/>
      <c r="F478" s="29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</row>
    <row r="479">
      <c r="B479" s="28"/>
      <c r="C479" s="28"/>
      <c r="D479" s="28"/>
      <c r="E479" s="29"/>
      <c r="F479" s="29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</row>
    <row r="480">
      <c r="B480" s="28"/>
      <c r="C480" s="28"/>
      <c r="D480" s="28"/>
      <c r="E480" s="29"/>
      <c r="F480" s="29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</row>
    <row r="481">
      <c r="B481" s="28"/>
      <c r="C481" s="28"/>
      <c r="D481" s="28"/>
      <c r="E481" s="29"/>
      <c r="F481" s="29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</row>
    <row r="482">
      <c r="B482" s="28"/>
      <c r="C482" s="28"/>
      <c r="D482" s="28"/>
      <c r="E482" s="29"/>
      <c r="F482" s="29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</row>
    <row r="483">
      <c r="B483" s="28"/>
      <c r="C483" s="28"/>
      <c r="D483" s="28"/>
      <c r="E483" s="29"/>
      <c r="F483" s="29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</row>
    <row r="484">
      <c r="B484" s="28"/>
      <c r="C484" s="28"/>
      <c r="D484" s="28"/>
      <c r="E484" s="29"/>
      <c r="F484" s="29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</row>
    <row r="485">
      <c r="B485" s="28"/>
      <c r="C485" s="28"/>
      <c r="D485" s="28"/>
      <c r="E485" s="29"/>
      <c r="F485" s="29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</row>
    <row r="486">
      <c r="B486" s="28"/>
      <c r="C486" s="28"/>
      <c r="D486" s="28"/>
      <c r="E486" s="29"/>
      <c r="F486" s="29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</row>
    <row r="487">
      <c r="B487" s="28"/>
      <c r="C487" s="28"/>
      <c r="D487" s="28"/>
      <c r="E487" s="29"/>
      <c r="F487" s="29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</row>
    <row r="488">
      <c r="B488" s="28"/>
      <c r="C488" s="28"/>
      <c r="D488" s="28"/>
      <c r="E488" s="29"/>
      <c r="F488" s="29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</row>
    <row r="489">
      <c r="B489" s="28"/>
      <c r="C489" s="28"/>
      <c r="D489" s="28"/>
      <c r="E489" s="29"/>
      <c r="F489" s="29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</row>
    <row r="490">
      <c r="B490" s="28"/>
      <c r="C490" s="28"/>
      <c r="D490" s="28"/>
      <c r="E490" s="29"/>
      <c r="F490" s="29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</row>
    <row r="491">
      <c r="B491" s="28"/>
      <c r="C491" s="28"/>
      <c r="D491" s="28"/>
      <c r="E491" s="29"/>
      <c r="F491" s="29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</row>
    <row r="492">
      <c r="B492" s="28"/>
      <c r="C492" s="28"/>
      <c r="D492" s="28"/>
      <c r="E492" s="29"/>
      <c r="F492" s="29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</row>
    <row r="493">
      <c r="B493" s="28"/>
      <c r="C493" s="28"/>
      <c r="D493" s="28"/>
      <c r="E493" s="29"/>
      <c r="F493" s="29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</row>
    <row r="494">
      <c r="B494" s="28"/>
      <c r="C494" s="28"/>
      <c r="D494" s="28"/>
      <c r="E494" s="29"/>
      <c r="F494" s="29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</row>
    <row r="495">
      <c r="B495" s="28"/>
      <c r="C495" s="28"/>
      <c r="D495" s="28"/>
      <c r="E495" s="29"/>
      <c r="F495" s="29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</row>
    <row r="496">
      <c r="B496" s="28"/>
      <c r="C496" s="28"/>
      <c r="D496" s="28"/>
      <c r="E496" s="29"/>
      <c r="F496" s="29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</row>
    <row r="497">
      <c r="B497" s="28"/>
      <c r="C497" s="28"/>
      <c r="D497" s="28"/>
      <c r="E497" s="29"/>
      <c r="F497" s="29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</row>
    <row r="498">
      <c r="B498" s="28"/>
      <c r="C498" s="28"/>
      <c r="D498" s="28"/>
      <c r="E498" s="29"/>
      <c r="F498" s="29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</row>
    <row r="499">
      <c r="B499" s="28"/>
      <c r="C499" s="28"/>
      <c r="D499" s="28"/>
      <c r="E499" s="29"/>
      <c r="F499" s="29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</row>
    <row r="500">
      <c r="B500" s="28"/>
      <c r="C500" s="28"/>
      <c r="D500" s="28"/>
      <c r="E500" s="29"/>
      <c r="F500" s="29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</row>
    <row r="501">
      <c r="B501" s="28"/>
      <c r="C501" s="28"/>
      <c r="D501" s="28"/>
      <c r="E501" s="29"/>
      <c r="F501" s="29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</row>
    <row r="502">
      <c r="B502" s="28"/>
      <c r="C502" s="28"/>
      <c r="D502" s="28"/>
      <c r="E502" s="29"/>
      <c r="F502" s="29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</row>
    <row r="503">
      <c r="B503" s="28"/>
      <c r="C503" s="28"/>
      <c r="D503" s="28"/>
      <c r="E503" s="29"/>
      <c r="F503" s="29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</row>
    <row r="504">
      <c r="B504" s="28"/>
      <c r="C504" s="28"/>
      <c r="D504" s="28"/>
      <c r="E504" s="29"/>
      <c r="F504" s="29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</row>
    <row r="505">
      <c r="B505" s="28"/>
      <c r="C505" s="28"/>
      <c r="D505" s="28"/>
      <c r="E505" s="29"/>
      <c r="F505" s="29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</row>
    <row r="506">
      <c r="B506" s="28"/>
      <c r="C506" s="28"/>
      <c r="D506" s="28"/>
      <c r="E506" s="29"/>
      <c r="F506" s="29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</row>
    <row r="507">
      <c r="B507" s="28"/>
      <c r="C507" s="28"/>
      <c r="D507" s="28"/>
      <c r="E507" s="29"/>
      <c r="F507" s="29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</row>
    <row r="508">
      <c r="B508" s="28"/>
      <c r="C508" s="28"/>
      <c r="D508" s="28"/>
      <c r="E508" s="29"/>
      <c r="F508" s="29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</row>
    <row r="509">
      <c r="B509" s="28"/>
      <c r="C509" s="28"/>
      <c r="D509" s="28"/>
      <c r="E509" s="29"/>
      <c r="F509" s="29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</row>
    <row r="510">
      <c r="B510" s="28"/>
      <c r="C510" s="28"/>
      <c r="D510" s="28"/>
      <c r="E510" s="29"/>
      <c r="F510" s="29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</row>
    <row r="511">
      <c r="B511" s="28"/>
      <c r="C511" s="28"/>
      <c r="D511" s="28"/>
      <c r="E511" s="29"/>
      <c r="F511" s="29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</row>
    <row r="512">
      <c r="B512" s="28"/>
      <c r="C512" s="28"/>
      <c r="D512" s="28"/>
      <c r="E512" s="29"/>
      <c r="F512" s="29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</row>
    <row r="513">
      <c r="B513" s="28"/>
      <c r="C513" s="28"/>
      <c r="D513" s="28"/>
      <c r="E513" s="29"/>
      <c r="F513" s="29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</row>
    <row r="514">
      <c r="B514" s="28"/>
      <c r="C514" s="28"/>
      <c r="D514" s="28"/>
      <c r="E514" s="29"/>
      <c r="F514" s="29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</row>
    <row r="515">
      <c r="B515" s="28"/>
      <c r="C515" s="28"/>
      <c r="D515" s="28"/>
      <c r="E515" s="29"/>
      <c r="F515" s="29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</row>
    <row r="516">
      <c r="B516" s="28"/>
      <c r="C516" s="28"/>
      <c r="D516" s="28"/>
      <c r="E516" s="29"/>
      <c r="F516" s="29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</row>
    <row r="517">
      <c r="B517" s="28"/>
      <c r="C517" s="28"/>
      <c r="D517" s="28"/>
      <c r="E517" s="29"/>
      <c r="F517" s="29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</row>
    <row r="518">
      <c r="B518" s="28"/>
      <c r="C518" s="28"/>
      <c r="D518" s="28"/>
      <c r="E518" s="29"/>
      <c r="F518" s="29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</row>
    <row r="519">
      <c r="B519" s="28"/>
      <c r="C519" s="28"/>
      <c r="D519" s="28"/>
      <c r="E519" s="29"/>
      <c r="F519" s="29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</row>
    <row r="520">
      <c r="B520" s="28"/>
      <c r="C520" s="28"/>
      <c r="D520" s="28"/>
      <c r="E520" s="29"/>
      <c r="F520" s="29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</row>
    <row r="521">
      <c r="B521" s="28"/>
      <c r="C521" s="28"/>
      <c r="D521" s="28"/>
      <c r="E521" s="29"/>
      <c r="F521" s="29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</row>
    <row r="522">
      <c r="B522" s="28"/>
      <c r="C522" s="28"/>
      <c r="D522" s="28"/>
      <c r="E522" s="29"/>
      <c r="F522" s="29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</row>
    <row r="523">
      <c r="B523" s="28"/>
      <c r="C523" s="28"/>
      <c r="D523" s="28"/>
      <c r="E523" s="29"/>
      <c r="F523" s="29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</row>
    <row r="524">
      <c r="B524" s="28"/>
      <c r="C524" s="28"/>
      <c r="D524" s="28"/>
      <c r="E524" s="29"/>
      <c r="F524" s="29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</row>
    <row r="525">
      <c r="B525" s="28"/>
      <c r="C525" s="28"/>
      <c r="D525" s="28"/>
      <c r="E525" s="29"/>
      <c r="F525" s="29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</row>
    <row r="526">
      <c r="B526" s="28"/>
      <c r="C526" s="28"/>
      <c r="D526" s="28"/>
      <c r="E526" s="29"/>
      <c r="F526" s="29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</row>
    <row r="527">
      <c r="B527" s="28"/>
      <c r="C527" s="28"/>
      <c r="D527" s="28"/>
      <c r="E527" s="29"/>
      <c r="F527" s="29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</row>
    <row r="528">
      <c r="B528" s="28"/>
      <c r="C528" s="28"/>
      <c r="D528" s="28"/>
      <c r="E528" s="29"/>
      <c r="F528" s="29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</row>
    <row r="529">
      <c r="B529" s="28"/>
      <c r="C529" s="28"/>
      <c r="D529" s="28"/>
      <c r="E529" s="29"/>
      <c r="F529" s="29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</row>
    <row r="530">
      <c r="B530" s="28"/>
      <c r="C530" s="28"/>
      <c r="D530" s="28"/>
      <c r="E530" s="29"/>
      <c r="F530" s="29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</row>
    <row r="531">
      <c r="B531" s="28"/>
      <c r="C531" s="28"/>
      <c r="D531" s="28"/>
      <c r="E531" s="29"/>
      <c r="F531" s="29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</row>
    <row r="532">
      <c r="B532" s="28"/>
      <c r="C532" s="28"/>
      <c r="D532" s="28"/>
      <c r="E532" s="29"/>
      <c r="F532" s="29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</row>
    <row r="533">
      <c r="B533" s="28"/>
      <c r="C533" s="28"/>
      <c r="D533" s="28"/>
      <c r="E533" s="29"/>
      <c r="F533" s="29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</row>
    <row r="534">
      <c r="B534" s="28"/>
      <c r="C534" s="28"/>
      <c r="D534" s="28"/>
      <c r="E534" s="29"/>
      <c r="F534" s="29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</row>
    <row r="535">
      <c r="B535" s="28"/>
      <c r="C535" s="28"/>
      <c r="D535" s="28"/>
      <c r="E535" s="29"/>
      <c r="F535" s="29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</row>
    <row r="536">
      <c r="B536" s="28"/>
      <c r="C536" s="28"/>
      <c r="D536" s="28"/>
      <c r="E536" s="29"/>
      <c r="F536" s="29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</row>
    <row r="537">
      <c r="B537" s="28"/>
      <c r="C537" s="28"/>
      <c r="D537" s="28"/>
      <c r="E537" s="29"/>
      <c r="F537" s="29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</row>
    <row r="538">
      <c r="B538" s="28"/>
      <c r="C538" s="28"/>
      <c r="D538" s="28"/>
      <c r="E538" s="29"/>
      <c r="F538" s="29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</row>
    <row r="539">
      <c r="B539" s="28"/>
      <c r="C539" s="28"/>
      <c r="D539" s="28"/>
      <c r="E539" s="29"/>
      <c r="F539" s="29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</row>
    <row r="540">
      <c r="B540" s="28"/>
      <c r="C540" s="28"/>
      <c r="D540" s="28"/>
      <c r="E540" s="29"/>
      <c r="F540" s="29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</row>
    <row r="541">
      <c r="B541" s="28"/>
      <c r="C541" s="28"/>
      <c r="D541" s="28"/>
      <c r="E541" s="29"/>
      <c r="F541" s="29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</row>
    <row r="542">
      <c r="B542" s="28"/>
      <c r="C542" s="28"/>
      <c r="D542" s="28"/>
      <c r="E542" s="29"/>
      <c r="F542" s="29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</row>
    <row r="543">
      <c r="B543" s="28"/>
      <c r="C543" s="28"/>
      <c r="D543" s="28"/>
      <c r="E543" s="29"/>
      <c r="F543" s="29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</row>
    <row r="544">
      <c r="B544" s="28"/>
      <c r="C544" s="28"/>
      <c r="D544" s="28"/>
      <c r="E544" s="29"/>
      <c r="F544" s="29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</row>
    <row r="545">
      <c r="B545" s="28"/>
      <c r="C545" s="28"/>
      <c r="D545" s="28"/>
      <c r="E545" s="29"/>
      <c r="F545" s="29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</row>
    <row r="546">
      <c r="B546" s="28"/>
      <c r="C546" s="28"/>
      <c r="D546" s="28"/>
      <c r="E546" s="29"/>
      <c r="F546" s="29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</row>
    <row r="547">
      <c r="B547" s="28"/>
      <c r="C547" s="28"/>
      <c r="D547" s="28"/>
      <c r="E547" s="29"/>
      <c r="F547" s="29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</row>
    <row r="548">
      <c r="B548" s="28"/>
      <c r="C548" s="28"/>
      <c r="D548" s="28"/>
      <c r="E548" s="29"/>
      <c r="F548" s="29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</row>
    <row r="549">
      <c r="B549" s="28"/>
      <c r="C549" s="28"/>
      <c r="D549" s="28"/>
      <c r="E549" s="29"/>
      <c r="F549" s="29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</row>
    <row r="550">
      <c r="B550" s="28"/>
      <c r="C550" s="28"/>
      <c r="D550" s="28"/>
      <c r="E550" s="29"/>
      <c r="F550" s="29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</row>
    <row r="551">
      <c r="B551" s="28"/>
      <c r="C551" s="28"/>
      <c r="D551" s="28"/>
      <c r="E551" s="29"/>
      <c r="F551" s="29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</row>
    <row r="552">
      <c r="B552" s="28"/>
      <c r="C552" s="28"/>
      <c r="D552" s="28"/>
      <c r="E552" s="29"/>
      <c r="F552" s="29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</row>
    <row r="553">
      <c r="B553" s="28"/>
      <c r="C553" s="28"/>
      <c r="D553" s="28"/>
      <c r="E553" s="29"/>
      <c r="F553" s="29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</row>
    <row r="554">
      <c r="B554" s="28"/>
      <c r="C554" s="28"/>
      <c r="D554" s="28"/>
      <c r="E554" s="29"/>
      <c r="F554" s="29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</row>
    <row r="555">
      <c r="B555" s="28"/>
      <c r="C555" s="28"/>
      <c r="D555" s="28"/>
      <c r="E555" s="29"/>
      <c r="F555" s="29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</row>
    <row r="556">
      <c r="B556" s="28"/>
      <c r="C556" s="28"/>
      <c r="D556" s="28"/>
      <c r="E556" s="29"/>
      <c r="F556" s="29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</row>
    <row r="557">
      <c r="B557" s="28"/>
      <c r="C557" s="28"/>
      <c r="D557" s="28"/>
      <c r="E557" s="29"/>
      <c r="F557" s="29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</row>
    <row r="558">
      <c r="B558" s="28"/>
      <c r="C558" s="28"/>
      <c r="D558" s="28"/>
      <c r="E558" s="29"/>
      <c r="F558" s="29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</row>
    <row r="559">
      <c r="B559" s="28"/>
      <c r="C559" s="28"/>
      <c r="D559" s="28"/>
      <c r="E559" s="29"/>
      <c r="F559" s="29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</row>
    <row r="560">
      <c r="B560" s="28"/>
      <c r="C560" s="28"/>
      <c r="D560" s="28"/>
      <c r="E560" s="29"/>
      <c r="F560" s="29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</row>
    <row r="561">
      <c r="B561" s="28"/>
      <c r="C561" s="28"/>
      <c r="D561" s="28"/>
      <c r="E561" s="29"/>
      <c r="F561" s="29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</row>
    <row r="562">
      <c r="B562" s="28"/>
      <c r="C562" s="28"/>
      <c r="D562" s="28"/>
      <c r="E562" s="29"/>
      <c r="F562" s="29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</row>
    <row r="563">
      <c r="B563" s="28"/>
      <c r="C563" s="28"/>
      <c r="D563" s="28"/>
      <c r="E563" s="29"/>
      <c r="F563" s="29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</row>
    <row r="564">
      <c r="B564" s="28"/>
      <c r="C564" s="28"/>
      <c r="D564" s="28"/>
      <c r="E564" s="29"/>
      <c r="F564" s="29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</row>
    <row r="565">
      <c r="B565" s="28"/>
      <c r="C565" s="28"/>
      <c r="D565" s="28"/>
      <c r="E565" s="29"/>
      <c r="F565" s="29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</row>
    <row r="566">
      <c r="B566" s="28"/>
      <c r="C566" s="28"/>
      <c r="D566" s="28"/>
      <c r="E566" s="29"/>
      <c r="F566" s="29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</row>
    <row r="567">
      <c r="B567" s="28"/>
      <c r="C567" s="28"/>
      <c r="D567" s="28"/>
      <c r="E567" s="29"/>
      <c r="F567" s="29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</row>
    <row r="568">
      <c r="B568" s="28"/>
      <c r="C568" s="28"/>
      <c r="D568" s="28"/>
      <c r="E568" s="29"/>
      <c r="F568" s="29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</row>
    <row r="569">
      <c r="B569" s="28"/>
      <c r="C569" s="28"/>
      <c r="D569" s="28"/>
      <c r="E569" s="29"/>
      <c r="F569" s="29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</row>
    <row r="570">
      <c r="B570" s="28"/>
      <c r="C570" s="28"/>
      <c r="D570" s="28"/>
      <c r="E570" s="29"/>
      <c r="F570" s="29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</row>
    <row r="571">
      <c r="B571" s="28"/>
      <c r="C571" s="28"/>
      <c r="D571" s="28"/>
      <c r="E571" s="29"/>
      <c r="F571" s="29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</row>
    <row r="572">
      <c r="B572" s="28"/>
      <c r="C572" s="28"/>
      <c r="D572" s="28"/>
      <c r="E572" s="29"/>
      <c r="F572" s="29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</row>
    <row r="573">
      <c r="B573" s="28"/>
      <c r="C573" s="28"/>
      <c r="D573" s="28"/>
      <c r="E573" s="29"/>
      <c r="F573" s="29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</row>
    <row r="574">
      <c r="B574" s="28"/>
      <c r="C574" s="28"/>
      <c r="D574" s="28"/>
      <c r="E574" s="29"/>
      <c r="F574" s="29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</row>
    <row r="575">
      <c r="B575" s="28"/>
      <c r="C575" s="28"/>
      <c r="D575" s="28"/>
      <c r="E575" s="29"/>
      <c r="F575" s="29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</row>
    <row r="576">
      <c r="B576" s="28"/>
      <c r="C576" s="28"/>
      <c r="D576" s="28"/>
      <c r="E576" s="29"/>
      <c r="F576" s="29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</row>
    <row r="577">
      <c r="B577" s="28"/>
      <c r="C577" s="28"/>
      <c r="D577" s="28"/>
      <c r="E577" s="29"/>
      <c r="F577" s="29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</row>
    <row r="578">
      <c r="B578" s="28"/>
      <c r="C578" s="28"/>
      <c r="D578" s="28"/>
      <c r="E578" s="29"/>
      <c r="F578" s="29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</row>
    <row r="579">
      <c r="B579" s="28"/>
      <c r="C579" s="28"/>
      <c r="D579" s="28"/>
      <c r="E579" s="29"/>
      <c r="F579" s="29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</row>
    <row r="580">
      <c r="B580" s="28"/>
      <c r="C580" s="28"/>
      <c r="D580" s="28"/>
      <c r="E580" s="29"/>
      <c r="F580" s="29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</row>
    <row r="581">
      <c r="B581" s="28"/>
      <c r="C581" s="28"/>
      <c r="D581" s="28"/>
      <c r="E581" s="29"/>
      <c r="F581" s="29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</row>
    <row r="582">
      <c r="B582" s="28"/>
      <c r="C582" s="28"/>
      <c r="D582" s="28"/>
      <c r="E582" s="29"/>
      <c r="F582" s="29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</row>
    <row r="583">
      <c r="B583" s="28"/>
      <c r="C583" s="28"/>
      <c r="D583" s="28"/>
      <c r="E583" s="29"/>
      <c r="F583" s="29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</row>
    <row r="584">
      <c r="B584" s="28"/>
      <c r="C584" s="28"/>
      <c r="D584" s="28"/>
      <c r="E584" s="29"/>
      <c r="F584" s="29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</row>
    <row r="585">
      <c r="B585" s="28"/>
      <c r="C585" s="28"/>
      <c r="D585" s="28"/>
      <c r="E585" s="29"/>
      <c r="F585" s="29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</row>
    <row r="586">
      <c r="B586" s="28"/>
      <c r="C586" s="28"/>
      <c r="D586" s="28"/>
      <c r="E586" s="29"/>
      <c r="F586" s="29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</row>
    <row r="587">
      <c r="B587" s="28"/>
      <c r="C587" s="28"/>
      <c r="D587" s="28"/>
      <c r="E587" s="29"/>
      <c r="F587" s="29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</row>
  </sheetData>
  <mergeCells count="20">
    <mergeCell ref="G2:G3"/>
    <mergeCell ref="H2:H3"/>
    <mergeCell ref="I2:I3"/>
    <mergeCell ref="J2:J3"/>
    <mergeCell ref="K2:K3"/>
    <mergeCell ref="L2:N2"/>
    <mergeCell ref="O2:O3"/>
    <mergeCell ref="P2:P3"/>
    <mergeCell ref="Q2:Q3"/>
    <mergeCell ref="R2:R3"/>
    <mergeCell ref="S2:S3"/>
    <mergeCell ref="T2:T3"/>
    <mergeCell ref="A1:U1"/>
    <mergeCell ref="A2:A3"/>
    <mergeCell ref="B2:B3"/>
    <mergeCell ref="C2:C3"/>
    <mergeCell ref="D2:D3"/>
    <mergeCell ref="E2:E3"/>
    <mergeCell ref="F2:F3"/>
    <mergeCell ref="U2:U3"/>
  </mergeCells>
  <hyperlinks>
    <hyperlink r:id="rId2" ref="A49"/>
  </hyperlinks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57"/>
  </cols>
  <sheetData>
    <row r="1">
      <c r="A1" s="1" t="s">
        <v>146</v>
      </c>
      <c r="B1" s="2"/>
      <c r="C1" s="2"/>
      <c r="D1" s="2"/>
      <c r="E1" s="3"/>
      <c r="G1" s="66" t="s">
        <v>147</v>
      </c>
      <c r="H1" s="67" t="s">
        <v>148</v>
      </c>
      <c r="I1" s="68" t="s">
        <v>149</v>
      </c>
      <c r="J1" s="68" t="s">
        <v>150</v>
      </c>
    </row>
    <row r="2">
      <c r="A2" s="69" t="s">
        <v>1</v>
      </c>
      <c r="B2" s="8" t="s">
        <v>3</v>
      </c>
      <c r="C2" s="8" t="s">
        <v>7</v>
      </c>
      <c r="D2" s="8" t="s">
        <v>4</v>
      </c>
      <c r="E2" s="70" t="s">
        <v>151</v>
      </c>
    </row>
    <row r="3">
      <c r="A3" s="71" t="s">
        <v>152</v>
      </c>
      <c r="B3" s="72">
        <v>58.0</v>
      </c>
      <c r="C3" s="72">
        <v>71.0</v>
      </c>
      <c r="D3" s="72">
        <v>26.0</v>
      </c>
      <c r="E3" s="73" t="s">
        <v>153</v>
      </c>
    </row>
    <row r="4">
      <c r="A4" s="71" t="s">
        <v>80</v>
      </c>
      <c r="B4" s="72">
        <v>90.0</v>
      </c>
      <c r="C4" s="72">
        <v>74.0</v>
      </c>
      <c r="D4" s="72">
        <v>29.0</v>
      </c>
      <c r="E4" s="73" t="s">
        <v>154</v>
      </c>
    </row>
    <row r="5">
      <c r="A5" s="74" t="s">
        <v>155</v>
      </c>
      <c r="B5" s="10">
        <v>50.0</v>
      </c>
      <c r="C5" s="10">
        <v>54.0</v>
      </c>
      <c r="D5" s="10">
        <v>20.0</v>
      </c>
      <c r="E5" s="75" t="s">
        <v>156</v>
      </c>
    </row>
    <row r="6">
      <c r="A6" s="76" t="s">
        <v>157</v>
      </c>
      <c r="B6" s="24"/>
      <c r="C6" s="24"/>
      <c r="D6" s="24"/>
      <c r="E6" s="77"/>
    </row>
    <row r="7">
      <c r="A7" s="71" t="s">
        <v>158</v>
      </c>
      <c r="B7" s="72">
        <v>93.0</v>
      </c>
      <c r="C7" s="72">
        <v>107.0</v>
      </c>
      <c r="D7" s="72">
        <v>41.0</v>
      </c>
      <c r="E7" s="73" t="s">
        <v>159</v>
      </c>
    </row>
    <row r="8">
      <c r="A8" s="78" t="s">
        <v>160</v>
      </c>
      <c r="B8" s="79">
        <v>38.0</v>
      </c>
      <c r="C8" s="79">
        <v>33.0</v>
      </c>
      <c r="D8" s="79">
        <v>12.0</v>
      </c>
      <c r="E8" s="80" t="s">
        <v>161</v>
      </c>
    </row>
    <row r="9">
      <c r="A9" s="71" t="s">
        <v>162</v>
      </c>
      <c r="B9" s="72">
        <v>67.0</v>
      </c>
      <c r="C9" s="72">
        <v>103.0</v>
      </c>
      <c r="D9" s="72">
        <v>39.0</v>
      </c>
      <c r="E9" s="73" t="s">
        <v>163</v>
      </c>
    </row>
    <row r="10">
      <c r="A10" s="71" t="s">
        <v>164</v>
      </c>
      <c r="B10" s="72">
        <v>82.0</v>
      </c>
      <c r="C10" s="72">
        <v>42.0</v>
      </c>
      <c r="D10" s="72">
        <v>16.0</v>
      </c>
      <c r="E10" s="73" t="s">
        <v>165</v>
      </c>
    </row>
    <row r="11">
      <c r="A11" s="71" t="s">
        <v>166</v>
      </c>
      <c r="B11" s="72">
        <v>70.0</v>
      </c>
      <c r="C11" s="72">
        <v>64.0</v>
      </c>
      <c r="D11" s="72">
        <v>24.0</v>
      </c>
      <c r="E11" s="73" t="s">
        <v>167</v>
      </c>
    </row>
    <row r="12">
      <c r="A12" s="78" t="s">
        <v>168</v>
      </c>
      <c r="B12" s="79">
        <v>90.0</v>
      </c>
      <c r="C12" s="79">
        <v>76.0</v>
      </c>
      <c r="D12" s="79">
        <v>28.0</v>
      </c>
      <c r="E12" s="80" t="s">
        <v>169</v>
      </c>
    </row>
    <row r="13">
      <c r="A13" s="71" t="s">
        <v>76</v>
      </c>
      <c r="B13" s="72">
        <v>108.0</v>
      </c>
      <c r="C13" s="72">
        <v>76.0</v>
      </c>
      <c r="D13" s="72">
        <v>29.0</v>
      </c>
      <c r="E13" s="73" t="s">
        <v>170</v>
      </c>
    </row>
    <row r="14">
      <c r="A14" s="71" t="s">
        <v>171</v>
      </c>
      <c r="B14" s="72">
        <v>61.0</v>
      </c>
      <c r="C14" s="72">
        <v>45.0</v>
      </c>
      <c r="D14" s="72">
        <v>17.0</v>
      </c>
      <c r="E14" s="73" t="s">
        <v>172</v>
      </c>
    </row>
    <row r="15">
      <c r="A15" s="71" t="s">
        <v>173</v>
      </c>
      <c r="B15" s="72">
        <v>51.0</v>
      </c>
      <c r="C15" s="72">
        <v>53.0</v>
      </c>
      <c r="D15" s="72">
        <v>20.0</v>
      </c>
      <c r="E15" s="73" t="s">
        <v>174</v>
      </c>
    </row>
    <row r="16">
      <c r="A16" s="71" t="s">
        <v>175</v>
      </c>
      <c r="B16" s="72">
        <v>45.0</v>
      </c>
      <c r="C16" s="72">
        <v>49.0</v>
      </c>
      <c r="D16" s="72">
        <v>19.0</v>
      </c>
      <c r="E16" s="73" t="s">
        <v>176</v>
      </c>
    </row>
    <row r="17">
      <c r="A17" s="71" t="s">
        <v>177</v>
      </c>
      <c r="B17" s="72">
        <v>40.0</v>
      </c>
      <c r="C17" s="72">
        <v>63.0</v>
      </c>
      <c r="D17" s="72">
        <v>23.0</v>
      </c>
      <c r="E17" s="73" t="s">
        <v>178</v>
      </c>
    </row>
    <row r="18">
      <c r="A18" s="71" t="s">
        <v>179</v>
      </c>
      <c r="B18" s="72">
        <v>13.0</v>
      </c>
      <c r="C18" s="72">
        <v>18.0</v>
      </c>
      <c r="D18" s="72">
        <v>7.0</v>
      </c>
      <c r="E18" s="73" t="s">
        <v>169</v>
      </c>
    </row>
    <row r="19">
      <c r="A19" s="78" t="s">
        <v>180</v>
      </c>
      <c r="B19" s="79">
        <v>8.0</v>
      </c>
      <c r="C19" s="79">
        <v>11.0</v>
      </c>
      <c r="D19" s="79">
        <v>5.0</v>
      </c>
      <c r="E19" s="80" t="s">
        <v>181</v>
      </c>
    </row>
    <row r="20">
      <c r="A20" s="71" t="s">
        <v>182</v>
      </c>
      <c r="B20" s="72">
        <v>68.0</v>
      </c>
      <c r="C20" s="72">
        <v>66.0</v>
      </c>
      <c r="D20" s="72">
        <v>25.0</v>
      </c>
      <c r="E20" s="73" t="s">
        <v>183</v>
      </c>
    </row>
    <row r="21">
      <c r="A21" s="78" t="s">
        <v>184</v>
      </c>
      <c r="B21" s="79">
        <v>104.0</v>
      </c>
      <c r="C21" s="79">
        <v>72.0</v>
      </c>
      <c r="D21" s="79">
        <v>27.0</v>
      </c>
      <c r="E21" s="80" t="s">
        <v>185</v>
      </c>
    </row>
    <row r="22">
      <c r="A22" s="78" t="s">
        <v>186</v>
      </c>
      <c r="B22" s="79">
        <v>78.0</v>
      </c>
      <c r="C22" s="79">
        <v>39.0</v>
      </c>
      <c r="D22" s="79">
        <v>14.0</v>
      </c>
      <c r="E22" s="80" t="s">
        <v>187</v>
      </c>
    </row>
    <row r="23">
      <c r="A23" s="74" t="s">
        <v>188</v>
      </c>
      <c r="B23" s="10">
        <v>119.0</v>
      </c>
      <c r="C23" s="10">
        <v>61.0</v>
      </c>
      <c r="D23" s="10">
        <v>21.0</v>
      </c>
      <c r="E23" s="75" t="s">
        <v>156</v>
      </c>
    </row>
    <row r="24">
      <c r="A24" s="71" t="s">
        <v>189</v>
      </c>
      <c r="B24" s="72">
        <v>44.0</v>
      </c>
      <c r="C24" s="72">
        <v>23.0</v>
      </c>
      <c r="D24" s="72">
        <v>9.0</v>
      </c>
      <c r="E24" s="73" t="s">
        <v>190</v>
      </c>
    </row>
    <row r="25">
      <c r="A25" s="78" t="s">
        <v>191</v>
      </c>
      <c r="B25" s="79">
        <v>22.0</v>
      </c>
      <c r="C25" s="79">
        <v>22.0</v>
      </c>
      <c r="D25" s="79">
        <v>8.0</v>
      </c>
      <c r="E25" s="80" t="s">
        <v>192</v>
      </c>
    </row>
    <row r="26">
      <c r="A26" s="76" t="s">
        <v>193</v>
      </c>
      <c r="B26" s="24"/>
      <c r="C26" s="24"/>
      <c r="D26" s="24"/>
      <c r="E26" s="77"/>
    </row>
    <row r="27">
      <c r="A27" s="78" t="s">
        <v>194</v>
      </c>
      <c r="B27" s="79">
        <v>42.0</v>
      </c>
      <c r="C27" s="79">
        <v>39.0</v>
      </c>
      <c r="D27" s="79">
        <v>14.0</v>
      </c>
      <c r="E27" s="80" t="s">
        <v>195</v>
      </c>
    </row>
    <row r="28">
      <c r="A28" s="71" t="s">
        <v>132</v>
      </c>
      <c r="B28" s="72">
        <v>55.0</v>
      </c>
      <c r="C28" s="72">
        <v>74.0</v>
      </c>
      <c r="D28" s="72">
        <v>29.0</v>
      </c>
      <c r="E28" s="73" t="s">
        <v>196</v>
      </c>
    </row>
    <row r="29">
      <c r="A29" s="78" t="s">
        <v>197</v>
      </c>
      <c r="B29" s="79">
        <v>56.0</v>
      </c>
      <c r="C29" s="79">
        <v>38.0</v>
      </c>
      <c r="D29" s="79">
        <v>14.0</v>
      </c>
      <c r="E29" s="80" t="s">
        <v>198</v>
      </c>
    </row>
    <row r="30">
      <c r="A30" s="71" t="s">
        <v>199</v>
      </c>
      <c r="B30" s="72">
        <v>58.0</v>
      </c>
      <c r="C30" s="72">
        <v>67.0</v>
      </c>
      <c r="D30" s="72">
        <v>25.0</v>
      </c>
      <c r="E30" s="73" t="s">
        <v>176</v>
      </c>
    </row>
    <row r="31">
      <c r="A31" s="71" t="s">
        <v>200</v>
      </c>
      <c r="B31" s="72">
        <v>58.0</v>
      </c>
      <c r="C31" s="72">
        <v>50.0</v>
      </c>
      <c r="D31" s="72">
        <v>19.0</v>
      </c>
      <c r="E31" s="73" t="s">
        <v>169</v>
      </c>
    </row>
    <row r="32">
      <c r="A32" s="71" t="s">
        <v>115</v>
      </c>
      <c r="B32" s="72">
        <v>57.0</v>
      </c>
      <c r="C32" s="72">
        <v>75.0</v>
      </c>
      <c r="D32" s="72">
        <v>29.0</v>
      </c>
      <c r="E32" s="73" t="s">
        <v>201</v>
      </c>
    </row>
    <row r="33">
      <c r="A33" s="78" t="s">
        <v>202</v>
      </c>
      <c r="B33" s="79">
        <v>54.0</v>
      </c>
      <c r="C33" s="79">
        <v>37.0</v>
      </c>
      <c r="D33" s="79">
        <v>14.0</v>
      </c>
      <c r="E33" s="80" t="s">
        <v>161</v>
      </c>
    </row>
    <row r="34">
      <c r="A34" s="78" t="s">
        <v>203</v>
      </c>
      <c r="B34" s="79">
        <v>15.0</v>
      </c>
      <c r="C34" s="79">
        <v>36.0</v>
      </c>
      <c r="D34" s="79">
        <v>14.0</v>
      </c>
      <c r="E34" s="80" t="s">
        <v>192</v>
      </c>
    </row>
    <row r="35">
      <c r="A35" s="71" t="s">
        <v>122</v>
      </c>
      <c r="B35" s="72">
        <v>109.0</v>
      </c>
      <c r="C35" s="72">
        <v>95.0</v>
      </c>
      <c r="D35" s="72">
        <v>36.0</v>
      </c>
      <c r="E35" s="73" t="s">
        <v>204</v>
      </c>
    </row>
    <row r="36">
      <c r="A36" s="71" t="s">
        <v>205</v>
      </c>
      <c r="B36" s="72">
        <v>21.0</v>
      </c>
      <c r="C36" s="72">
        <v>9.0</v>
      </c>
      <c r="D36" s="72">
        <v>4.0</v>
      </c>
      <c r="E36" s="73" t="s">
        <v>206</v>
      </c>
    </row>
    <row r="37">
      <c r="A37" s="74" t="s">
        <v>207</v>
      </c>
      <c r="B37" s="10">
        <v>81.0</v>
      </c>
      <c r="C37" s="10">
        <v>69.0</v>
      </c>
      <c r="D37" s="10">
        <v>24.0</v>
      </c>
      <c r="E37" s="75" t="s">
        <v>208</v>
      </c>
    </row>
    <row r="38">
      <c r="A38" s="71" t="s">
        <v>209</v>
      </c>
      <c r="B38" s="72">
        <v>23.0</v>
      </c>
      <c r="C38" s="72">
        <v>43.0</v>
      </c>
      <c r="D38" s="72">
        <v>16.0</v>
      </c>
      <c r="E38" s="73" t="s">
        <v>210</v>
      </c>
    </row>
    <row r="39">
      <c r="A39" s="78" t="s">
        <v>211</v>
      </c>
      <c r="B39" s="79">
        <v>19.0</v>
      </c>
      <c r="C39" s="79">
        <v>13.0</v>
      </c>
      <c r="D39" s="79">
        <v>5.0</v>
      </c>
      <c r="E39" s="80" t="s">
        <v>212</v>
      </c>
    </row>
    <row r="40">
      <c r="A40" s="76" t="s">
        <v>213</v>
      </c>
      <c r="B40" s="24"/>
      <c r="C40" s="24"/>
      <c r="D40" s="24"/>
      <c r="E40" s="77"/>
    </row>
    <row r="41">
      <c r="A41" s="74" t="s">
        <v>214</v>
      </c>
      <c r="B41" s="10">
        <v>72.0</v>
      </c>
      <c r="C41" s="10">
        <v>50.0</v>
      </c>
      <c r="D41" s="10">
        <v>18.0</v>
      </c>
      <c r="E41" s="75" t="s">
        <v>215</v>
      </c>
    </row>
    <row r="42">
      <c r="A42" s="74" t="s">
        <v>216</v>
      </c>
      <c r="B42" s="10">
        <v>88.0</v>
      </c>
      <c r="C42" s="10">
        <v>65.0</v>
      </c>
      <c r="D42" s="10">
        <v>24.0</v>
      </c>
      <c r="E42" s="75" t="s">
        <v>217</v>
      </c>
    </row>
    <row r="43">
      <c r="A43" s="74" t="s">
        <v>218</v>
      </c>
      <c r="B43" s="10">
        <v>66.0</v>
      </c>
      <c r="C43" s="10">
        <v>48.0</v>
      </c>
      <c r="D43" s="10">
        <v>16.0</v>
      </c>
      <c r="E43" s="75" t="s">
        <v>219</v>
      </c>
    </row>
    <row r="44">
      <c r="A44" s="71" t="s">
        <v>88</v>
      </c>
      <c r="B44" s="72">
        <v>123.0</v>
      </c>
      <c r="C44" s="72">
        <v>98.0</v>
      </c>
      <c r="D44" s="72">
        <v>38.0</v>
      </c>
      <c r="E44" s="73" t="s">
        <v>220</v>
      </c>
    </row>
    <row r="45">
      <c r="A45" s="74" t="s">
        <v>221</v>
      </c>
      <c r="B45" s="10">
        <v>92.0</v>
      </c>
      <c r="C45" s="10">
        <v>51.0</v>
      </c>
      <c r="D45" s="10">
        <v>18.0</v>
      </c>
      <c r="E45" s="75" t="s">
        <v>156</v>
      </c>
    </row>
    <row r="46">
      <c r="A46" s="78" t="s">
        <v>222</v>
      </c>
      <c r="B46" s="79">
        <v>56.0</v>
      </c>
      <c r="C46" s="79">
        <v>56.0</v>
      </c>
      <c r="D46" s="79">
        <v>21.0</v>
      </c>
      <c r="E46" s="80" t="s">
        <v>223</v>
      </c>
    </row>
    <row r="47">
      <c r="A47" s="71" t="s">
        <v>224</v>
      </c>
      <c r="B47" s="72">
        <v>128.0</v>
      </c>
      <c r="C47" s="72">
        <v>70.0</v>
      </c>
      <c r="D47" s="72">
        <v>26.0</v>
      </c>
      <c r="E47" s="73" t="s">
        <v>176</v>
      </c>
    </row>
    <row r="48">
      <c r="A48" s="78" t="s">
        <v>225</v>
      </c>
      <c r="B48" s="79">
        <v>54.0</v>
      </c>
      <c r="C48" s="79">
        <v>38.0</v>
      </c>
      <c r="D48" s="79">
        <v>14.0</v>
      </c>
      <c r="E48" s="80" t="s">
        <v>226</v>
      </c>
    </row>
    <row r="49">
      <c r="A49" s="78" t="s">
        <v>227</v>
      </c>
      <c r="B49" s="79">
        <v>49.0</v>
      </c>
      <c r="C49" s="79">
        <v>30.0</v>
      </c>
      <c r="D49" s="79">
        <v>11.0</v>
      </c>
      <c r="E49" s="80" t="s">
        <v>228</v>
      </c>
    </row>
    <row r="50">
      <c r="A50" s="71" t="s">
        <v>229</v>
      </c>
      <c r="B50" s="72">
        <v>80.0</v>
      </c>
      <c r="C50" s="72">
        <v>57.0</v>
      </c>
      <c r="D50" s="72">
        <v>21.0</v>
      </c>
      <c r="E50" s="73" t="s">
        <v>230</v>
      </c>
    </row>
    <row r="51">
      <c r="A51" s="71" t="s">
        <v>231</v>
      </c>
      <c r="B51" s="72">
        <v>26.0</v>
      </c>
      <c r="C51" s="72">
        <v>50.0</v>
      </c>
      <c r="D51" s="72">
        <v>19.0</v>
      </c>
      <c r="E51" s="73" t="s">
        <v>190</v>
      </c>
    </row>
    <row r="52">
      <c r="A52" s="74" t="s">
        <v>232</v>
      </c>
      <c r="B52" s="10">
        <v>117.0</v>
      </c>
      <c r="C52" s="10">
        <v>66.0</v>
      </c>
      <c r="D52" s="10">
        <v>24.0</v>
      </c>
      <c r="E52" s="75" t="s">
        <v>233</v>
      </c>
    </row>
    <row r="53">
      <c r="A53" s="71" t="s">
        <v>234</v>
      </c>
      <c r="B53" s="72">
        <v>64.0</v>
      </c>
      <c r="C53" s="72">
        <v>75.0</v>
      </c>
      <c r="D53" s="72">
        <v>28.0</v>
      </c>
      <c r="E53" s="73" t="s">
        <v>235</v>
      </c>
    </row>
    <row r="54">
      <c r="A54" s="78" t="s">
        <v>236</v>
      </c>
      <c r="B54" s="79">
        <v>50.0</v>
      </c>
      <c r="C54" s="79">
        <v>51.0</v>
      </c>
      <c r="D54" s="79">
        <v>19.0</v>
      </c>
      <c r="E54" s="80" t="s">
        <v>235</v>
      </c>
    </row>
    <row r="55">
      <c r="A55" s="74" t="s">
        <v>237</v>
      </c>
      <c r="B55" s="10">
        <v>90.0</v>
      </c>
      <c r="C55" s="10">
        <v>63.0</v>
      </c>
      <c r="D55" s="10">
        <v>22.0</v>
      </c>
      <c r="E55" s="75" t="s">
        <v>238</v>
      </c>
    </row>
    <row r="56">
      <c r="A56" s="71" t="s">
        <v>239</v>
      </c>
      <c r="B56" s="72">
        <v>73.0</v>
      </c>
      <c r="C56" s="72">
        <v>74.0</v>
      </c>
      <c r="D56" s="72">
        <v>29.0</v>
      </c>
      <c r="E56" s="73" t="s">
        <v>240</v>
      </c>
    </row>
    <row r="57">
      <c r="A57" s="74" t="s">
        <v>241</v>
      </c>
      <c r="B57" s="10">
        <v>29.0</v>
      </c>
      <c r="C57" s="10">
        <v>51.0</v>
      </c>
      <c r="D57" s="10">
        <v>19.0</v>
      </c>
      <c r="E57" s="75" t="s">
        <v>242</v>
      </c>
    </row>
    <row r="58">
      <c r="A58" s="78" t="s">
        <v>243</v>
      </c>
      <c r="B58" s="79">
        <v>20.0</v>
      </c>
      <c r="C58" s="79">
        <v>36.0</v>
      </c>
      <c r="D58" s="79">
        <v>14.0</v>
      </c>
      <c r="E58" s="80" t="s">
        <v>181</v>
      </c>
    </row>
    <row r="59">
      <c r="A59" s="74" t="s">
        <v>244</v>
      </c>
      <c r="B59" s="10">
        <v>112.0</v>
      </c>
      <c r="C59" s="10">
        <v>65.0</v>
      </c>
      <c r="D59" s="10">
        <v>23.0</v>
      </c>
      <c r="E59" s="75" t="s">
        <v>245</v>
      </c>
    </row>
    <row r="60">
      <c r="A60" s="71" t="s">
        <v>246</v>
      </c>
      <c r="B60" s="72">
        <v>111.0</v>
      </c>
      <c r="C60" s="72">
        <v>79.0</v>
      </c>
      <c r="D60" s="72">
        <v>29.0</v>
      </c>
      <c r="E60" s="73" t="s">
        <v>247</v>
      </c>
    </row>
    <row r="61">
      <c r="A61" s="74" t="s">
        <v>248</v>
      </c>
      <c r="B61" s="10">
        <v>61.0</v>
      </c>
      <c r="C61" s="10">
        <v>56.0</v>
      </c>
      <c r="D61" s="10">
        <v>20.0</v>
      </c>
      <c r="E61" s="75" t="s">
        <v>249</v>
      </c>
    </row>
    <row r="62">
      <c r="A62" s="71" t="s">
        <v>250</v>
      </c>
      <c r="B62" s="72">
        <v>39.0</v>
      </c>
      <c r="C62" s="72">
        <v>55.0</v>
      </c>
      <c r="D62" s="72">
        <v>20.0</v>
      </c>
      <c r="E62" s="73" t="s">
        <v>251</v>
      </c>
    </row>
    <row r="63">
      <c r="A63" s="71" t="s">
        <v>79</v>
      </c>
      <c r="B63" s="72">
        <v>94.0</v>
      </c>
      <c r="C63" s="72">
        <v>78.0</v>
      </c>
      <c r="D63" s="72">
        <v>29.0</v>
      </c>
      <c r="E63" s="73" t="s">
        <v>252</v>
      </c>
    </row>
    <row r="64">
      <c r="A64" s="71" t="s">
        <v>253</v>
      </c>
      <c r="B64" s="72">
        <v>40.0</v>
      </c>
      <c r="C64" s="72">
        <v>53.0</v>
      </c>
      <c r="D64" s="72">
        <v>19.0</v>
      </c>
      <c r="E64" s="73" t="s">
        <v>190</v>
      </c>
    </row>
    <row r="65">
      <c r="A65" s="78" t="s">
        <v>254</v>
      </c>
      <c r="B65" s="79">
        <v>6.0</v>
      </c>
      <c r="C65" s="79">
        <v>13.0</v>
      </c>
      <c r="D65" s="79">
        <v>5.0</v>
      </c>
      <c r="E65" s="80" t="s">
        <v>255</v>
      </c>
    </row>
    <row r="66">
      <c r="A66" s="71" t="s">
        <v>74</v>
      </c>
      <c r="B66" s="72">
        <v>84.0</v>
      </c>
      <c r="C66" s="72">
        <v>78.0</v>
      </c>
      <c r="D66" s="72">
        <v>29.0</v>
      </c>
      <c r="E66" s="73" t="s">
        <v>256</v>
      </c>
    </row>
    <row r="67">
      <c r="A67" s="78" t="s">
        <v>97</v>
      </c>
      <c r="B67" s="79">
        <v>28.0</v>
      </c>
      <c r="C67" s="79">
        <v>35.0</v>
      </c>
      <c r="D67" s="79">
        <v>15.0</v>
      </c>
      <c r="E67" s="80" t="s">
        <v>257</v>
      </c>
    </row>
    <row r="68">
      <c r="A68" s="78" t="s">
        <v>258</v>
      </c>
      <c r="B68" s="79">
        <v>56.0</v>
      </c>
      <c r="C68" s="79">
        <v>62.0</v>
      </c>
      <c r="D68" s="79">
        <v>23.0</v>
      </c>
      <c r="E68" s="80" t="s">
        <v>259</v>
      </c>
    </row>
    <row r="69">
      <c r="A69" s="78" t="s">
        <v>101</v>
      </c>
      <c r="B69" s="79">
        <v>26.0</v>
      </c>
      <c r="C69" s="79">
        <v>35.0</v>
      </c>
      <c r="D69" s="79">
        <v>15.0</v>
      </c>
      <c r="E69" s="80" t="s">
        <v>257</v>
      </c>
    </row>
    <row r="70">
      <c r="A70" s="78" t="s">
        <v>260</v>
      </c>
      <c r="B70" s="79">
        <v>7.0</v>
      </c>
      <c r="C70" s="79">
        <v>9.0</v>
      </c>
      <c r="D70" s="79">
        <v>3.0</v>
      </c>
      <c r="E70" s="80" t="s">
        <v>255</v>
      </c>
    </row>
    <row r="71">
      <c r="A71" s="71" t="s">
        <v>261</v>
      </c>
      <c r="B71" s="72">
        <v>74.0</v>
      </c>
      <c r="C71" s="72">
        <v>67.0</v>
      </c>
      <c r="D71" s="72">
        <v>24.0</v>
      </c>
      <c r="E71" s="73" t="s">
        <v>206</v>
      </c>
    </row>
    <row r="72">
      <c r="A72" s="76" t="s">
        <v>262</v>
      </c>
      <c r="B72" s="24"/>
      <c r="C72" s="24"/>
      <c r="D72" s="24"/>
      <c r="E72" s="77"/>
    </row>
    <row r="73">
      <c r="A73" s="74" t="s">
        <v>263</v>
      </c>
      <c r="B73" s="10">
        <v>112.0</v>
      </c>
      <c r="C73" s="10">
        <v>54.0</v>
      </c>
      <c r="D73" s="10">
        <v>18.0</v>
      </c>
      <c r="E73" s="75" t="s">
        <v>217</v>
      </c>
    </row>
    <row r="74">
      <c r="A74" s="74" t="s">
        <v>264</v>
      </c>
      <c r="B74" s="10">
        <v>116.0</v>
      </c>
      <c r="C74" s="10">
        <v>50.0</v>
      </c>
      <c r="D74" s="10">
        <v>17.0</v>
      </c>
      <c r="E74" s="75" t="s">
        <v>219</v>
      </c>
    </row>
    <row r="75">
      <c r="A75" s="78" t="s">
        <v>94</v>
      </c>
      <c r="B75" s="79">
        <v>241.0</v>
      </c>
      <c r="C75" s="79">
        <v>134.0</v>
      </c>
      <c r="D75" s="79">
        <v>51.0</v>
      </c>
      <c r="E75" s="80" t="s">
        <v>265</v>
      </c>
    </row>
    <row r="76">
      <c r="A76" s="74" t="s">
        <v>266</v>
      </c>
      <c r="B76" s="10">
        <v>55.0</v>
      </c>
      <c r="C76" s="10">
        <v>44.0</v>
      </c>
      <c r="D76" s="10">
        <v>15.0</v>
      </c>
      <c r="E76" s="75" t="s">
        <v>217</v>
      </c>
    </row>
    <row r="77">
      <c r="A77" s="78" t="s">
        <v>267</v>
      </c>
      <c r="B77" s="79">
        <v>127.0</v>
      </c>
      <c r="C77" s="79">
        <v>68.0</v>
      </c>
      <c r="D77" s="79">
        <v>27.0</v>
      </c>
      <c r="E77" s="80" t="s">
        <v>268</v>
      </c>
    </row>
    <row r="78">
      <c r="A78" s="78" t="s">
        <v>269</v>
      </c>
      <c r="B78" s="79">
        <v>16.0</v>
      </c>
      <c r="C78" s="79">
        <v>10.0</v>
      </c>
      <c r="D78" s="79">
        <v>4.0</v>
      </c>
      <c r="E78" s="80" t="s">
        <v>270</v>
      </c>
    </row>
    <row r="79">
      <c r="A79" s="78" t="s">
        <v>271</v>
      </c>
      <c r="B79" s="79">
        <v>21.0</v>
      </c>
      <c r="C79" s="79">
        <v>10.0</v>
      </c>
      <c r="D79" s="79">
        <v>4.0</v>
      </c>
      <c r="E79" s="80" t="s">
        <v>228</v>
      </c>
    </row>
    <row r="80">
      <c r="A80" s="78" t="s">
        <v>129</v>
      </c>
      <c r="B80" s="79">
        <v>92.0</v>
      </c>
      <c r="C80" s="79">
        <v>76.0</v>
      </c>
      <c r="D80" s="79">
        <v>27.0</v>
      </c>
      <c r="E80" s="80" t="s">
        <v>272</v>
      </c>
    </row>
    <row r="81">
      <c r="A81" s="71" t="s">
        <v>72</v>
      </c>
      <c r="B81" s="72">
        <v>111.0</v>
      </c>
      <c r="C81" s="72">
        <v>96.0</v>
      </c>
      <c r="D81" s="72">
        <v>36.0</v>
      </c>
      <c r="E81" s="73" t="s">
        <v>273</v>
      </c>
    </row>
    <row r="82">
      <c r="A82" s="74" t="s">
        <v>274</v>
      </c>
      <c r="B82" s="10">
        <v>70.0</v>
      </c>
      <c r="C82" s="10">
        <v>54.0</v>
      </c>
      <c r="D82" s="10">
        <v>20.0</v>
      </c>
      <c r="E82" s="75" t="s">
        <v>275</v>
      </c>
    </row>
    <row r="83">
      <c r="A83" s="71" t="s">
        <v>276</v>
      </c>
      <c r="B83" s="72">
        <v>42.0</v>
      </c>
      <c r="C83" s="72">
        <v>35.0</v>
      </c>
      <c r="D83" s="72">
        <v>13.0</v>
      </c>
      <c r="E83" s="73" t="s">
        <v>223</v>
      </c>
    </row>
    <row r="84">
      <c r="A84" s="71" t="s">
        <v>277</v>
      </c>
      <c r="B84" s="72">
        <v>44.0</v>
      </c>
      <c r="C84" s="72">
        <v>69.0</v>
      </c>
      <c r="D84" s="72">
        <v>26.0</v>
      </c>
      <c r="E84" s="73" t="s">
        <v>210</v>
      </c>
    </row>
    <row r="85">
      <c r="A85" s="71" t="s">
        <v>120</v>
      </c>
      <c r="B85" s="72">
        <v>45.0</v>
      </c>
      <c r="C85" s="72">
        <v>74.0</v>
      </c>
      <c r="D85" s="72">
        <v>29.0</v>
      </c>
      <c r="E85" s="73" t="s">
        <v>278</v>
      </c>
    </row>
    <row r="86">
      <c r="A86" s="71" t="s">
        <v>279</v>
      </c>
      <c r="B86" s="72">
        <v>123.0</v>
      </c>
      <c r="C86" s="72">
        <v>76.0</v>
      </c>
      <c r="D86" s="72">
        <v>28.0</v>
      </c>
      <c r="E86" s="73" t="s">
        <v>230</v>
      </c>
    </row>
    <row r="87">
      <c r="A87" s="78" t="s">
        <v>280</v>
      </c>
      <c r="B87" s="79">
        <v>42.0</v>
      </c>
      <c r="C87" s="79">
        <v>29.0</v>
      </c>
      <c r="D87" s="79">
        <v>11.0</v>
      </c>
      <c r="E87" s="80" t="s">
        <v>255</v>
      </c>
    </row>
    <row r="88">
      <c r="A88" s="78" t="s">
        <v>281</v>
      </c>
      <c r="B88" s="79">
        <v>127.0</v>
      </c>
      <c r="C88" s="79">
        <v>69.0</v>
      </c>
      <c r="D88" s="79">
        <v>25.0</v>
      </c>
      <c r="E88" s="80" t="s">
        <v>172</v>
      </c>
    </row>
    <row r="89">
      <c r="A89" s="76" t="s">
        <v>282</v>
      </c>
      <c r="B89" s="24"/>
      <c r="C89" s="24"/>
      <c r="D89" s="24"/>
      <c r="E89" s="77"/>
    </row>
    <row r="90">
      <c r="A90" s="74" t="s">
        <v>283</v>
      </c>
      <c r="B90" s="10">
        <v>78.0</v>
      </c>
      <c r="C90" s="10">
        <v>54.0</v>
      </c>
      <c r="D90" s="10">
        <v>19.0</v>
      </c>
      <c r="E90" s="75" t="s">
        <v>217</v>
      </c>
    </row>
    <row r="91">
      <c r="A91" s="71" t="s">
        <v>284</v>
      </c>
      <c r="B91" s="72">
        <v>105.0</v>
      </c>
      <c r="C91" s="72">
        <v>77.0</v>
      </c>
      <c r="D91" s="72">
        <v>28.0</v>
      </c>
      <c r="E91" s="73" t="s">
        <v>169</v>
      </c>
    </row>
    <row r="92">
      <c r="A92" s="71" t="s">
        <v>285</v>
      </c>
      <c r="B92" s="72">
        <v>60.0</v>
      </c>
      <c r="C92" s="72">
        <v>72.0</v>
      </c>
      <c r="D92" s="72">
        <v>26.0</v>
      </c>
      <c r="E92" s="73" t="s">
        <v>230</v>
      </c>
    </row>
    <row r="93">
      <c r="A93" s="71" t="s">
        <v>286</v>
      </c>
      <c r="B93" s="72">
        <v>64.0</v>
      </c>
      <c r="C93" s="72">
        <v>51.0</v>
      </c>
      <c r="D93" s="72">
        <v>20.0</v>
      </c>
      <c r="E93" s="73" t="s">
        <v>287</v>
      </c>
    </row>
    <row r="94">
      <c r="A94" s="74" t="s">
        <v>288</v>
      </c>
      <c r="B94" s="10">
        <v>96.0</v>
      </c>
      <c r="C94" s="10">
        <v>83.0</v>
      </c>
      <c r="D94" s="10">
        <v>29.0</v>
      </c>
      <c r="E94" s="75" t="s">
        <v>289</v>
      </c>
    </row>
    <row r="95">
      <c r="A95" s="74" t="s">
        <v>290</v>
      </c>
      <c r="B95" s="10">
        <v>87.0</v>
      </c>
      <c r="C95" s="10">
        <v>73.0</v>
      </c>
      <c r="D95" s="10">
        <v>27.0</v>
      </c>
      <c r="E95" s="75" t="s">
        <v>245</v>
      </c>
    </row>
    <row r="96">
      <c r="A96" s="78" t="s">
        <v>291</v>
      </c>
      <c r="B96" s="79">
        <v>57.0</v>
      </c>
      <c r="C96" s="79">
        <v>39.0</v>
      </c>
      <c r="D96" s="79">
        <v>14.0</v>
      </c>
      <c r="E96" s="80" t="s">
        <v>292</v>
      </c>
    </row>
    <row r="97">
      <c r="A97" s="71" t="s">
        <v>35</v>
      </c>
      <c r="B97" s="72">
        <v>182.0</v>
      </c>
      <c r="C97" s="72">
        <v>84.0</v>
      </c>
      <c r="D97" s="72">
        <v>31.0</v>
      </c>
      <c r="E97" s="73" t="s">
        <v>273</v>
      </c>
    </row>
    <row r="98">
      <c r="A98" s="71" t="s">
        <v>293</v>
      </c>
      <c r="B98" s="72">
        <v>63.0</v>
      </c>
      <c r="C98" s="72">
        <v>69.0</v>
      </c>
      <c r="D98" s="72">
        <v>25.0</v>
      </c>
      <c r="E98" s="73" t="s">
        <v>294</v>
      </c>
    </row>
    <row r="99">
      <c r="A99" s="78" t="s">
        <v>93</v>
      </c>
      <c r="B99" s="79">
        <v>77.0</v>
      </c>
      <c r="C99" s="79">
        <v>74.0</v>
      </c>
      <c r="D99" s="79">
        <v>29.0</v>
      </c>
      <c r="E99" s="80" t="s">
        <v>295</v>
      </c>
    </row>
    <row r="100">
      <c r="A100" s="71" t="s">
        <v>296</v>
      </c>
      <c r="B100" s="72">
        <v>38.0</v>
      </c>
      <c r="C100" s="72">
        <v>30.0</v>
      </c>
      <c r="D100" s="72">
        <v>12.0</v>
      </c>
      <c r="E100" s="73" t="s">
        <v>297</v>
      </c>
    </row>
    <row r="101">
      <c r="A101" s="71" t="s">
        <v>134</v>
      </c>
      <c r="B101" s="72">
        <v>53.0</v>
      </c>
      <c r="C101" s="72">
        <v>74.0</v>
      </c>
      <c r="D101" s="72">
        <v>29.0</v>
      </c>
      <c r="E101" s="73" t="s">
        <v>298</v>
      </c>
    </row>
    <row r="102">
      <c r="A102" s="71" t="s">
        <v>299</v>
      </c>
      <c r="B102" s="72">
        <v>47.0</v>
      </c>
      <c r="C102" s="72">
        <v>55.0</v>
      </c>
      <c r="D102" s="72">
        <v>20.0</v>
      </c>
      <c r="E102" s="73" t="s">
        <v>230</v>
      </c>
    </row>
    <row r="103">
      <c r="A103" s="76" t="s">
        <v>300</v>
      </c>
      <c r="B103" s="24"/>
      <c r="C103" s="24"/>
      <c r="D103" s="24"/>
      <c r="E103" s="77"/>
    </row>
    <row r="104">
      <c r="A104" s="78" t="s">
        <v>125</v>
      </c>
      <c r="B104" s="79">
        <v>18.0</v>
      </c>
      <c r="C104" s="79">
        <v>35.0</v>
      </c>
      <c r="D104" s="79">
        <v>15.0</v>
      </c>
      <c r="E104" s="80" t="s">
        <v>257</v>
      </c>
    </row>
    <row r="105">
      <c r="A105" s="71" t="s">
        <v>301</v>
      </c>
      <c r="B105" s="72">
        <v>65.0</v>
      </c>
      <c r="C105" s="72">
        <v>62.0</v>
      </c>
      <c r="D105" s="72">
        <v>23.0</v>
      </c>
      <c r="E105" s="73" t="s">
        <v>251</v>
      </c>
    </row>
    <row r="106">
      <c r="B106" s="28"/>
      <c r="C106" s="28"/>
      <c r="D106" s="28"/>
      <c r="E106" s="81"/>
    </row>
    <row r="107">
      <c r="B107" s="28"/>
      <c r="C107" s="28"/>
      <c r="D107" s="28"/>
      <c r="E107" s="81"/>
    </row>
    <row r="108">
      <c r="B108" s="28"/>
      <c r="C108" s="28"/>
      <c r="D108" s="28"/>
      <c r="E108" s="81"/>
    </row>
    <row r="109">
      <c r="B109" s="28"/>
      <c r="C109" s="28"/>
      <c r="D109" s="28"/>
      <c r="E109" s="81"/>
    </row>
    <row r="110">
      <c r="B110" s="28"/>
      <c r="C110" s="28"/>
      <c r="D110" s="28"/>
      <c r="E110" s="81"/>
    </row>
    <row r="111">
      <c r="B111" s="28"/>
      <c r="C111" s="28"/>
      <c r="D111" s="28"/>
      <c r="E111" s="81"/>
    </row>
    <row r="112">
      <c r="B112" s="28"/>
      <c r="C112" s="28"/>
      <c r="D112" s="28"/>
      <c r="E112" s="81"/>
    </row>
    <row r="113">
      <c r="B113" s="28"/>
      <c r="C113" s="28"/>
      <c r="D113" s="28"/>
      <c r="E113" s="81"/>
    </row>
    <row r="114">
      <c r="B114" s="28"/>
      <c r="C114" s="28"/>
      <c r="D114" s="28"/>
      <c r="E114" s="81"/>
    </row>
    <row r="115">
      <c r="B115" s="28"/>
      <c r="C115" s="28"/>
      <c r="D115" s="28"/>
      <c r="E115" s="81"/>
    </row>
    <row r="116">
      <c r="B116" s="28"/>
      <c r="C116" s="28"/>
      <c r="D116" s="28"/>
      <c r="E116" s="81"/>
    </row>
    <row r="117">
      <c r="B117" s="28"/>
      <c r="C117" s="28"/>
      <c r="D117" s="28"/>
      <c r="E117" s="81"/>
    </row>
    <row r="118">
      <c r="B118" s="28"/>
      <c r="C118" s="28"/>
      <c r="D118" s="28"/>
      <c r="E118" s="81"/>
    </row>
    <row r="119">
      <c r="B119" s="28"/>
      <c r="C119" s="28"/>
      <c r="D119" s="28"/>
      <c r="E119" s="81"/>
    </row>
    <row r="120">
      <c r="B120" s="28"/>
      <c r="C120" s="28"/>
      <c r="D120" s="28"/>
      <c r="E120" s="81"/>
    </row>
    <row r="121">
      <c r="B121" s="28"/>
      <c r="C121" s="28"/>
      <c r="D121" s="28"/>
      <c r="E121" s="81"/>
    </row>
    <row r="122">
      <c r="B122" s="28"/>
      <c r="C122" s="28"/>
      <c r="D122" s="28"/>
      <c r="E122" s="81"/>
    </row>
    <row r="123">
      <c r="B123" s="28"/>
      <c r="C123" s="28"/>
      <c r="D123" s="28"/>
      <c r="E123" s="81"/>
    </row>
    <row r="124">
      <c r="B124" s="28"/>
      <c r="C124" s="28"/>
      <c r="D124" s="28"/>
      <c r="E124" s="81"/>
    </row>
    <row r="125">
      <c r="B125" s="28"/>
      <c r="C125" s="28"/>
      <c r="D125" s="28"/>
      <c r="E125" s="81"/>
    </row>
    <row r="126">
      <c r="B126" s="28"/>
      <c r="C126" s="28"/>
      <c r="D126" s="28"/>
      <c r="E126" s="81"/>
    </row>
    <row r="127">
      <c r="B127" s="28"/>
      <c r="C127" s="28"/>
      <c r="D127" s="28"/>
      <c r="E127" s="81"/>
    </row>
    <row r="128">
      <c r="B128" s="28"/>
      <c r="C128" s="28"/>
      <c r="D128" s="28"/>
      <c r="E128" s="81"/>
    </row>
    <row r="129">
      <c r="B129" s="28"/>
      <c r="C129" s="28"/>
      <c r="D129" s="28"/>
      <c r="E129" s="81"/>
    </row>
    <row r="130">
      <c r="B130" s="28"/>
      <c r="C130" s="28"/>
      <c r="D130" s="28"/>
      <c r="E130" s="81"/>
    </row>
    <row r="131">
      <c r="B131" s="28"/>
      <c r="C131" s="28"/>
      <c r="D131" s="28"/>
      <c r="E131" s="81"/>
    </row>
    <row r="132">
      <c r="B132" s="28"/>
      <c r="C132" s="28"/>
      <c r="D132" s="28"/>
      <c r="E132" s="81"/>
    </row>
    <row r="133">
      <c r="B133" s="28"/>
      <c r="C133" s="28"/>
      <c r="D133" s="28"/>
      <c r="E133" s="81"/>
    </row>
    <row r="134">
      <c r="B134" s="28"/>
      <c r="C134" s="28"/>
      <c r="D134" s="28"/>
      <c r="E134" s="81"/>
    </row>
    <row r="135">
      <c r="B135" s="28"/>
      <c r="C135" s="28"/>
      <c r="D135" s="28"/>
      <c r="E135" s="81"/>
    </row>
    <row r="136">
      <c r="B136" s="28"/>
      <c r="C136" s="28"/>
      <c r="D136" s="28"/>
      <c r="E136" s="81"/>
    </row>
    <row r="137">
      <c r="B137" s="28"/>
      <c r="C137" s="28"/>
      <c r="D137" s="28"/>
      <c r="E137" s="81"/>
    </row>
    <row r="138">
      <c r="B138" s="28"/>
      <c r="C138" s="28"/>
      <c r="D138" s="28"/>
      <c r="E138" s="81"/>
    </row>
    <row r="139">
      <c r="B139" s="28"/>
      <c r="C139" s="28"/>
      <c r="D139" s="28"/>
      <c r="E139" s="81"/>
    </row>
    <row r="140">
      <c r="B140" s="28"/>
      <c r="C140" s="28"/>
      <c r="D140" s="28"/>
      <c r="E140" s="81"/>
    </row>
    <row r="141">
      <c r="B141" s="28"/>
      <c r="C141" s="28"/>
      <c r="D141" s="28"/>
      <c r="E141" s="81"/>
    </row>
    <row r="142">
      <c r="B142" s="28"/>
      <c r="C142" s="28"/>
      <c r="D142" s="28"/>
      <c r="E142" s="81"/>
    </row>
    <row r="143">
      <c r="B143" s="28"/>
      <c r="C143" s="28"/>
      <c r="D143" s="28"/>
      <c r="E143" s="81"/>
    </row>
    <row r="144">
      <c r="B144" s="28"/>
      <c r="C144" s="28"/>
      <c r="D144" s="28"/>
      <c r="E144" s="81"/>
    </row>
    <row r="145">
      <c r="B145" s="28"/>
      <c r="C145" s="28"/>
      <c r="D145" s="28"/>
      <c r="E145" s="81"/>
    </row>
    <row r="146">
      <c r="B146" s="28"/>
      <c r="C146" s="28"/>
      <c r="D146" s="28"/>
      <c r="E146" s="81"/>
    </row>
    <row r="147">
      <c r="B147" s="28"/>
      <c r="C147" s="28"/>
      <c r="D147" s="28"/>
      <c r="E147" s="81"/>
    </row>
    <row r="148">
      <c r="B148" s="28"/>
      <c r="C148" s="28"/>
      <c r="D148" s="28"/>
      <c r="E148" s="81"/>
    </row>
    <row r="149">
      <c r="B149" s="28"/>
      <c r="C149" s="28"/>
      <c r="D149" s="28"/>
      <c r="E149" s="81"/>
    </row>
    <row r="150">
      <c r="B150" s="28"/>
      <c r="C150" s="28"/>
      <c r="D150" s="28"/>
      <c r="E150" s="81"/>
    </row>
    <row r="151">
      <c r="B151" s="28"/>
      <c r="C151" s="28"/>
      <c r="D151" s="28"/>
      <c r="E151" s="81"/>
    </row>
    <row r="152">
      <c r="B152" s="28"/>
      <c r="C152" s="28"/>
      <c r="D152" s="28"/>
      <c r="E152" s="81"/>
    </row>
    <row r="153">
      <c r="B153" s="28"/>
      <c r="C153" s="28"/>
      <c r="D153" s="28"/>
      <c r="E153" s="81"/>
    </row>
    <row r="154">
      <c r="B154" s="28"/>
      <c r="C154" s="28"/>
      <c r="D154" s="28"/>
      <c r="E154" s="81"/>
    </row>
    <row r="155">
      <c r="B155" s="28"/>
      <c r="C155" s="28"/>
      <c r="D155" s="28"/>
      <c r="E155" s="81"/>
    </row>
    <row r="156">
      <c r="B156" s="28"/>
      <c r="C156" s="28"/>
      <c r="D156" s="28"/>
      <c r="E156" s="81"/>
    </row>
    <row r="157">
      <c r="B157" s="28"/>
      <c r="C157" s="28"/>
      <c r="D157" s="28"/>
      <c r="E157" s="81"/>
    </row>
    <row r="158">
      <c r="B158" s="28"/>
      <c r="C158" s="28"/>
      <c r="D158" s="28"/>
      <c r="E158" s="81"/>
    </row>
    <row r="159">
      <c r="B159" s="28"/>
      <c r="C159" s="28"/>
      <c r="D159" s="28"/>
      <c r="E159" s="81"/>
    </row>
    <row r="160">
      <c r="B160" s="28"/>
      <c r="C160" s="28"/>
      <c r="D160" s="28"/>
      <c r="E160" s="81"/>
    </row>
    <row r="161">
      <c r="B161" s="28"/>
      <c r="C161" s="28"/>
      <c r="D161" s="28"/>
      <c r="E161" s="81"/>
    </row>
    <row r="162">
      <c r="B162" s="28"/>
      <c r="C162" s="28"/>
      <c r="D162" s="28"/>
      <c r="E162" s="81"/>
    </row>
    <row r="163">
      <c r="B163" s="28"/>
      <c r="C163" s="28"/>
      <c r="D163" s="28"/>
      <c r="E163" s="81"/>
    </row>
    <row r="164">
      <c r="B164" s="28"/>
      <c r="C164" s="28"/>
      <c r="D164" s="28"/>
      <c r="E164" s="81"/>
    </row>
    <row r="165">
      <c r="B165" s="28"/>
      <c r="C165" s="28"/>
      <c r="D165" s="28"/>
      <c r="E165" s="81"/>
    </row>
    <row r="166">
      <c r="B166" s="28"/>
      <c r="C166" s="28"/>
      <c r="D166" s="28"/>
      <c r="E166" s="81"/>
    </row>
    <row r="167">
      <c r="B167" s="28"/>
      <c r="C167" s="28"/>
      <c r="D167" s="28"/>
      <c r="E167" s="81"/>
    </row>
    <row r="168">
      <c r="B168" s="28"/>
      <c r="C168" s="28"/>
      <c r="D168" s="28"/>
      <c r="E168" s="81"/>
    </row>
    <row r="169">
      <c r="B169" s="28"/>
      <c r="C169" s="28"/>
      <c r="D169" s="28"/>
      <c r="E169" s="81"/>
    </row>
    <row r="170">
      <c r="B170" s="28"/>
      <c r="C170" s="28"/>
      <c r="D170" s="28"/>
      <c r="E170" s="81"/>
    </row>
    <row r="171">
      <c r="B171" s="28"/>
      <c r="C171" s="28"/>
      <c r="D171" s="28"/>
      <c r="E171" s="81"/>
    </row>
    <row r="172">
      <c r="B172" s="28"/>
      <c r="C172" s="28"/>
      <c r="D172" s="28"/>
      <c r="E172" s="81"/>
    </row>
    <row r="173">
      <c r="B173" s="28"/>
      <c r="C173" s="28"/>
      <c r="D173" s="28"/>
      <c r="E173" s="81"/>
    </row>
    <row r="174">
      <c r="B174" s="28"/>
      <c r="C174" s="28"/>
      <c r="D174" s="28"/>
      <c r="E174" s="81"/>
    </row>
    <row r="175">
      <c r="B175" s="28"/>
      <c r="C175" s="28"/>
      <c r="D175" s="28"/>
      <c r="E175" s="81"/>
    </row>
    <row r="176">
      <c r="B176" s="28"/>
      <c r="C176" s="28"/>
      <c r="D176" s="28"/>
      <c r="E176" s="81"/>
    </row>
    <row r="177">
      <c r="B177" s="28"/>
      <c r="C177" s="28"/>
      <c r="D177" s="28"/>
      <c r="E177" s="81"/>
    </row>
    <row r="178">
      <c r="B178" s="28"/>
      <c r="C178" s="28"/>
      <c r="D178" s="28"/>
      <c r="E178" s="81"/>
    </row>
    <row r="179">
      <c r="B179" s="28"/>
      <c r="C179" s="28"/>
      <c r="D179" s="28"/>
      <c r="E179" s="81"/>
    </row>
    <row r="180">
      <c r="B180" s="28"/>
      <c r="C180" s="28"/>
      <c r="D180" s="28"/>
      <c r="E180" s="81"/>
    </row>
    <row r="181">
      <c r="B181" s="28"/>
      <c r="C181" s="28"/>
      <c r="D181" s="28"/>
      <c r="E181" s="81"/>
    </row>
    <row r="182">
      <c r="B182" s="28"/>
      <c r="C182" s="28"/>
      <c r="D182" s="28"/>
      <c r="E182" s="81"/>
    </row>
    <row r="183">
      <c r="B183" s="28"/>
      <c r="C183" s="28"/>
      <c r="D183" s="28"/>
      <c r="E183" s="81"/>
    </row>
    <row r="184">
      <c r="B184" s="28"/>
      <c r="C184" s="28"/>
      <c r="D184" s="28"/>
      <c r="E184" s="81"/>
    </row>
    <row r="185">
      <c r="B185" s="28"/>
      <c r="C185" s="28"/>
      <c r="D185" s="28"/>
      <c r="E185" s="81"/>
    </row>
    <row r="186">
      <c r="B186" s="28"/>
      <c r="C186" s="28"/>
      <c r="D186" s="28"/>
      <c r="E186" s="81"/>
    </row>
    <row r="187">
      <c r="B187" s="28"/>
      <c r="C187" s="28"/>
      <c r="D187" s="28"/>
      <c r="E187" s="81"/>
    </row>
    <row r="188">
      <c r="B188" s="28"/>
      <c r="C188" s="28"/>
      <c r="D188" s="28"/>
      <c r="E188" s="81"/>
    </row>
    <row r="189">
      <c r="B189" s="28"/>
      <c r="C189" s="28"/>
      <c r="D189" s="28"/>
      <c r="E189" s="81"/>
    </row>
    <row r="190">
      <c r="B190" s="28"/>
      <c r="C190" s="28"/>
      <c r="D190" s="28"/>
      <c r="E190" s="81"/>
    </row>
    <row r="191">
      <c r="B191" s="28"/>
      <c r="C191" s="28"/>
      <c r="D191" s="28"/>
      <c r="E191" s="81"/>
    </row>
    <row r="192">
      <c r="B192" s="28"/>
      <c r="C192" s="28"/>
      <c r="D192" s="28"/>
      <c r="E192" s="81"/>
    </row>
    <row r="193">
      <c r="B193" s="28"/>
      <c r="C193" s="28"/>
      <c r="D193" s="28"/>
      <c r="E193" s="81"/>
    </row>
    <row r="194">
      <c r="B194" s="28"/>
      <c r="C194" s="28"/>
      <c r="D194" s="28"/>
      <c r="E194" s="81"/>
    </row>
    <row r="195">
      <c r="B195" s="28"/>
      <c r="C195" s="28"/>
      <c r="D195" s="28"/>
      <c r="E195" s="81"/>
    </row>
    <row r="196">
      <c r="B196" s="28"/>
      <c r="C196" s="28"/>
      <c r="D196" s="28"/>
      <c r="E196" s="81"/>
    </row>
    <row r="197">
      <c r="B197" s="28"/>
      <c r="C197" s="28"/>
      <c r="D197" s="28"/>
      <c r="E197" s="81"/>
    </row>
    <row r="198">
      <c r="B198" s="28"/>
      <c r="C198" s="28"/>
      <c r="D198" s="28"/>
      <c r="E198" s="81"/>
    </row>
    <row r="199">
      <c r="B199" s="28"/>
      <c r="C199" s="28"/>
      <c r="D199" s="28"/>
      <c r="E199" s="81"/>
    </row>
    <row r="200">
      <c r="B200" s="28"/>
      <c r="C200" s="28"/>
      <c r="D200" s="28"/>
      <c r="E200" s="81"/>
    </row>
    <row r="201">
      <c r="B201" s="28"/>
      <c r="C201" s="28"/>
      <c r="D201" s="28"/>
      <c r="E201" s="81"/>
    </row>
    <row r="202">
      <c r="B202" s="28"/>
      <c r="C202" s="28"/>
      <c r="D202" s="28"/>
      <c r="E202" s="81"/>
    </row>
    <row r="203">
      <c r="B203" s="28"/>
      <c r="C203" s="28"/>
      <c r="D203" s="28"/>
      <c r="E203" s="81"/>
    </row>
    <row r="204">
      <c r="B204" s="28"/>
      <c r="C204" s="28"/>
      <c r="D204" s="28"/>
      <c r="E204" s="81"/>
    </row>
    <row r="205">
      <c r="B205" s="28"/>
      <c r="C205" s="28"/>
      <c r="D205" s="28"/>
      <c r="E205" s="81"/>
    </row>
    <row r="206">
      <c r="B206" s="28"/>
      <c r="C206" s="28"/>
      <c r="D206" s="28"/>
      <c r="E206" s="81"/>
    </row>
    <row r="207">
      <c r="B207" s="28"/>
      <c r="C207" s="28"/>
      <c r="D207" s="28"/>
      <c r="E207" s="81"/>
    </row>
    <row r="208">
      <c r="B208" s="28"/>
      <c r="C208" s="28"/>
      <c r="D208" s="28"/>
      <c r="E208" s="81"/>
    </row>
    <row r="209">
      <c r="B209" s="28"/>
      <c r="C209" s="28"/>
      <c r="D209" s="28"/>
      <c r="E209" s="81"/>
    </row>
    <row r="210">
      <c r="B210" s="28"/>
      <c r="C210" s="28"/>
      <c r="D210" s="28"/>
      <c r="E210" s="81"/>
    </row>
    <row r="211">
      <c r="B211" s="28"/>
      <c r="C211" s="28"/>
      <c r="D211" s="28"/>
      <c r="E211" s="81"/>
    </row>
    <row r="212">
      <c r="B212" s="28"/>
      <c r="C212" s="28"/>
      <c r="D212" s="28"/>
      <c r="E212" s="81"/>
    </row>
    <row r="213">
      <c r="B213" s="28"/>
      <c r="C213" s="28"/>
      <c r="D213" s="28"/>
      <c r="E213" s="81"/>
    </row>
    <row r="214">
      <c r="B214" s="28"/>
      <c r="C214" s="28"/>
      <c r="D214" s="28"/>
      <c r="E214" s="81"/>
    </row>
    <row r="215">
      <c r="B215" s="28"/>
      <c r="C215" s="28"/>
      <c r="D215" s="28"/>
      <c r="E215" s="81"/>
    </row>
    <row r="216">
      <c r="B216" s="28"/>
      <c r="C216" s="28"/>
      <c r="D216" s="28"/>
      <c r="E216" s="81"/>
    </row>
    <row r="217">
      <c r="B217" s="28"/>
      <c r="C217" s="28"/>
      <c r="D217" s="28"/>
      <c r="E217" s="81"/>
    </row>
    <row r="218">
      <c r="B218" s="28"/>
      <c r="C218" s="28"/>
      <c r="D218" s="28"/>
      <c r="E218" s="81"/>
    </row>
    <row r="219">
      <c r="B219" s="28"/>
      <c r="C219" s="28"/>
      <c r="D219" s="28"/>
      <c r="E219" s="81"/>
    </row>
    <row r="220">
      <c r="B220" s="28"/>
      <c r="C220" s="28"/>
      <c r="D220" s="28"/>
      <c r="E220" s="81"/>
    </row>
    <row r="221">
      <c r="B221" s="28"/>
      <c r="C221" s="28"/>
      <c r="D221" s="28"/>
      <c r="E221" s="81"/>
    </row>
    <row r="222">
      <c r="B222" s="28"/>
      <c r="C222" s="28"/>
      <c r="D222" s="28"/>
      <c r="E222" s="81"/>
    </row>
    <row r="223">
      <c r="B223" s="28"/>
      <c r="C223" s="28"/>
      <c r="D223" s="28"/>
      <c r="E223" s="81"/>
    </row>
    <row r="224">
      <c r="B224" s="28"/>
      <c r="C224" s="28"/>
      <c r="D224" s="28"/>
      <c r="E224" s="81"/>
    </row>
    <row r="225">
      <c r="B225" s="28"/>
      <c r="C225" s="28"/>
      <c r="D225" s="28"/>
      <c r="E225" s="81"/>
    </row>
    <row r="226">
      <c r="B226" s="28"/>
      <c r="C226" s="28"/>
      <c r="D226" s="28"/>
      <c r="E226" s="81"/>
    </row>
    <row r="227">
      <c r="B227" s="28"/>
      <c r="C227" s="28"/>
      <c r="D227" s="28"/>
      <c r="E227" s="81"/>
    </row>
    <row r="228">
      <c r="B228" s="28"/>
      <c r="C228" s="28"/>
      <c r="D228" s="28"/>
      <c r="E228" s="81"/>
    </row>
    <row r="229">
      <c r="B229" s="28"/>
      <c r="C229" s="28"/>
      <c r="D229" s="28"/>
      <c r="E229" s="81"/>
    </row>
    <row r="230">
      <c r="B230" s="28"/>
      <c r="C230" s="28"/>
      <c r="D230" s="28"/>
      <c r="E230" s="81"/>
    </row>
    <row r="231">
      <c r="B231" s="28"/>
      <c r="C231" s="28"/>
      <c r="D231" s="28"/>
      <c r="E231" s="81"/>
    </row>
    <row r="232">
      <c r="B232" s="28"/>
      <c r="C232" s="28"/>
      <c r="D232" s="28"/>
      <c r="E232" s="81"/>
    </row>
    <row r="233">
      <c r="B233" s="28"/>
      <c r="C233" s="28"/>
      <c r="D233" s="28"/>
      <c r="E233" s="81"/>
    </row>
    <row r="234">
      <c r="B234" s="28"/>
      <c r="C234" s="28"/>
      <c r="D234" s="28"/>
      <c r="E234" s="81"/>
    </row>
    <row r="235">
      <c r="B235" s="28"/>
      <c r="C235" s="28"/>
      <c r="D235" s="28"/>
      <c r="E235" s="81"/>
    </row>
    <row r="236">
      <c r="B236" s="28"/>
      <c r="C236" s="28"/>
      <c r="D236" s="28"/>
      <c r="E236" s="81"/>
    </row>
    <row r="237">
      <c r="B237" s="28"/>
      <c r="C237" s="28"/>
      <c r="D237" s="28"/>
      <c r="E237" s="81"/>
    </row>
    <row r="238">
      <c r="B238" s="28"/>
      <c r="C238" s="28"/>
      <c r="D238" s="28"/>
      <c r="E238" s="81"/>
    </row>
    <row r="239">
      <c r="B239" s="28"/>
      <c r="C239" s="28"/>
      <c r="D239" s="28"/>
      <c r="E239" s="81"/>
    </row>
    <row r="240">
      <c r="B240" s="28"/>
      <c r="C240" s="28"/>
      <c r="D240" s="28"/>
      <c r="E240" s="81"/>
    </row>
    <row r="241">
      <c r="B241" s="28"/>
      <c r="C241" s="28"/>
      <c r="D241" s="28"/>
      <c r="E241" s="81"/>
    </row>
    <row r="242">
      <c r="B242" s="28"/>
      <c r="C242" s="28"/>
      <c r="D242" s="28"/>
      <c r="E242" s="81"/>
    </row>
    <row r="243">
      <c r="B243" s="28"/>
      <c r="C243" s="28"/>
      <c r="D243" s="28"/>
      <c r="E243" s="81"/>
    </row>
    <row r="244">
      <c r="B244" s="28"/>
      <c r="C244" s="28"/>
      <c r="D244" s="28"/>
      <c r="E244" s="81"/>
    </row>
    <row r="245">
      <c r="B245" s="28"/>
      <c r="C245" s="28"/>
      <c r="D245" s="28"/>
      <c r="E245" s="81"/>
    </row>
    <row r="246">
      <c r="B246" s="28"/>
      <c r="C246" s="28"/>
      <c r="D246" s="28"/>
      <c r="E246" s="81"/>
    </row>
    <row r="247">
      <c r="B247" s="28"/>
      <c r="C247" s="28"/>
      <c r="D247" s="28"/>
      <c r="E247" s="81"/>
    </row>
    <row r="248">
      <c r="B248" s="28"/>
      <c r="C248" s="28"/>
      <c r="D248" s="28"/>
      <c r="E248" s="81"/>
    </row>
    <row r="249">
      <c r="B249" s="28"/>
      <c r="C249" s="28"/>
      <c r="D249" s="28"/>
      <c r="E249" s="81"/>
    </row>
    <row r="250">
      <c r="B250" s="28"/>
      <c r="C250" s="28"/>
      <c r="D250" s="28"/>
      <c r="E250" s="81"/>
    </row>
    <row r="251">
      <c r="B251" s="28"/>
      <c r="C251" s="28"/>
      <c r="D251" s="28"/>
      <c r="E251" s="81"/>
    </row>
    <row r="252">
      <c r="B252" s="28"/>
      <c r="C252" s="28"/>
      <c r="D252" s="28"/>
      <c r="E252" s="81"/>
    </row>
    <row r="253">
      <c r="B253" s="28"/>
      <c r="C253" s="28"/>
      <c r="D253" s="28"/>
      <c r="E253" s="81"/>
    </row>
    <row r="254">
      <c r="B254" s="28"/>
      <c r="C254" s="28"/>
      <c r="D254" s="28"/>
      <c r="E254" s="81"/>
    </row>
    <row r="255">
      <c r="B255" s="28"/>
      <c r="C255" s="28"/>
      <c r="D255" s="28"/>
      <c r="E255" s="81"/>
    </row>
    <row r="256">
      <c r="B256" s="28"/>
      <c r="C256" s="28"/>
      <c r="D256" s="28"/>
      <c r="E256" s="81"/>
    </row>
    <row r="257">
      <c r="B257" s="28"/>
      <c r="C257" s="28"/>
      <c r="D257" s="28"/>
      <c r="E257" s="81"/>
    </row>
    <row r="258">
      <c r="B258" s="28"/>
      <c r="C258" s="28"/>
      <c r="D258" s="28"/>
      <c r="E258" s="81"/>
    </row>
    <row r="259">
      <c r="B259" s="28"/>
      <c r="C259" s="28"/>
      <c r="D259" s="28"/>
      <c r="E259" s="81"/>
    </row>
    <row r="260">
      <c r="B260" s="28"/>
      <c r="C260" s="28"/>
      <c r="D260" s="28"/>
      <c r="E260" s="81"/>
    </row>
    <row r="261">
      <c r="B261" s="28"/>
      <c r="C261" s="28"/>
      <c r="D261" s="28"/>
      <c r="E261" s="81"/>
    </row>
    <row r="262">
      <c r="B262" s="28"/>
      <c r="C262" s="28"/>
      <c r="D262" s="28"/>
      <c r="E262" s="81"/>
    </row>
    <row r="263">
      <c r="B263" s="28"/>
      <c r="C263" s="28"/>
      <c r="D263" s="28"/>
      <c r="E263" s="81"/>
    </row>
    <row r="264">
      <c r="B264" s="28"/>
      <c r="C264" s="28"/>
      <c r="D264" s="28"/>
      <c r="E264" s="81"/>
    </row>
    <row r="265">
      <c r="B265" s="28"/>
      <c r="C265" s="28"/>
      <c r="D265" s="28"/>
      <c r="E265" s="81"/>
    </row>
    <row r="266">
      <c r="B266" s="28"/>
      <c r="C266" s="28"/>
      <c r="D266" s="28"/>
      <c r="E266" s="81"/>
    </row>
    <row r="267">
      <c r="B267" s="28"/>
      <c r="C267" s="28"/>
      <c r="D267" s="28"/>
      <c r="E267" s="81"/>
    </row>
    <row r="268">
      <c r="B268" s="28"/>
      <c r="C268" s="28"/>
      <c r="D268" s="28"/>
      <c r="E268" s="81"/>
    </row>
    <row r="269">
      <c r="B269" s="28"/>
      <c r="C269" s="28"/>
      <c r="D269" s="28"/>
      <c r="E269" s="81"/>
    </row>
    <row r="270">
      <c r="B270" s="28"/>
      <c r="C270" s="28"/>
      <c r="D270" s="28"/>
      <c r="E270" s="81"/>
    </row>
    <row r="271">
      <c r="B271" s="28"/>
      <c r="C271" s="28"/>
      <c r="D271" s="28"/>
      <c r="E271" s="81"/>
    </row>
    <row r="272">
      <c r="B272" s="28"/>
      <c r="C272" s="28"/>
      <c r="D272" s="28"/>
      <c r="E272" s="81"/>
    </row>
    <row r="273">
      <c r="B273" s="28"/>
      <c r="C273" s="28"/>
      <c r="D273" s="28"/>
      <c r="E273" s="81"/>
    </row>
    <row r="274">
      <c r="B274" s="28"/>
      <c r="C274" s="28"/>
      <c r="D274" s="28"/>
      <c r="E274" s="81"/>
    </row>
    <row r="275">
      <c r="B275" s="28"/>
      <c r="C275" s="28"/>
      <c r="D275" s="28"/>
      <c r="E275" s="81"/>
    </row>
    <row r="276">
      <c r="B276" s="28"/>
      <c r="C276" s="28"/>
      <c r="D276" s="28"/>
      <c r="E276" s="81"/>
    </row>
    <row r="277">
      <c r="B277" s="28"/>
      <c r="C277" s="28"/>
      <c r="D277" s="28"/>
      <c r="E277" s="81"/>
    </row>
    <row r="278">
      <c r="B278" s="28"/>
      <c r="C278" s="28"/>
      <c r="D278" s="28"/>
      <c r="E278" s="81"/>
    </row>
    <row r="279">
      <c r="B279" s="28"/>
      <c r="C279" s="28"/>
      <c r="D279" s="28"/>
      <c r="E279" s="81"/>
    </row>
    <row r="280">
      <c r="B280" s="28"/>
      <c r="C280" s="28"/>
      <c r="D280" s="28"/>
      <c r="E280" s="81"/>
    </row>
    <row r="281">
      <c r="B281" s="28"/>
      <c r="C281" s="28"/>
      <c r="D281" s="28"/>
      <c r="E281" s="81"/>
    </row>
    <row r="282">
      <c r="B282" s="28"/>
      <c r="C282" s="28"/>
      <c r="D282" s="28"/>
      <c r="E282" s="81"/>
    </row>
    <row r="283">
      <c r="B283" s="28"/>
      <c r="C283" s="28"/>
      <c r="D283" s="28"/>
      <c r="E283" s="81"/>
    </row>
    <row r="284">
      <c r="B284" s="28"/>
      <c r="C284" s="28"/>
      <c r="D284" s="28"/>
      <c r="E284" s="81"/>
    </row>
    <row r="285">
      <c r="B285" s="28"/>
      <c r="C285" s="28"/>
      <c r="D285" s="28"/>
      <c r="E285" s="81"/>
    </row>
    <row r="286">
      <c r="B286" s="28"/>
      <c r="C286" s="28"/>
      <c r="D286" s="28"/>
      <c r="E286" s="81"/>
    </row>
    <row r="287">
      <c r="B287" s="28"/>
      <c r="C287" s="28"/>
      <c r="D287" s="28"/>
      <c r="E287" s="81"/>
    </row>
    <row r="288">
      <c r="B288" s="28"/>
      <c r="C288" s="28"/>
      <c r="D288" s="28"/>
      <c r="E288" s="81"/>
    </row>
    <row r="289">
      <c r="B289" s="28"/>
      <c r="C289" s="28"/>
      <c r="D289" s="28"/>
      <c r="E289" s="81"/>
    </row>
    <row r="290">
      <c r="B290" s="28"/>
      <c r="C290" s="28"/>
      <c r="D290" s="28"/>
      <c r="E290" s="81"/>
    </row>
    <row r="291">
      <c r="B291" s="28"/>
      <c r="C291" s="28"/>
      <c r="D291" s="28"/>
      <c r="E291" s="81"/>
    </row>
    <row r="292">
      <c r="B292" s="28"/>
      <c r="C292" s="28"/>
      <c r="D292" s="28"/>
      <c r="E292" s="81"/>
    </row>
    <row r="293">
      <c r="B293" s="28"/>
      <c r="C293" s="28"/>
      <c r="D293" s="28"/>
      <c r="E293" s="81"/>
    </row>
    <row r="294">
      <c r="B294" s="28"/>
      <c r="C294" s="28"/>
      <c r="D294" s="28"/>
      <c r="E294" s="81"/>
    </row>
    <row r="295">
      <c r="B295" s="28"/>
      <c r="C295" s="28"/>
      <c r="D295" s="28"/>
      <c r="E295" s="81"/>
    </row>
    <row r="296">
      <c r="B296" s="28"/>
      <c r="C296" s="28"/>
      <c r="D296" s="28"/>
      <c r="E296" s="81"/>
    </row>
    <row r="297">
      <c r="B297" s="28"/>
      <c r="C297" s="28"/>
      <c r="D297" s="28"/>
      <c r="E297" s="81"/>
    </row>
    <row r="298">
      <c r="B298" s="28"/>
      <c r="C298" s="28"/>
      <c r="D298" s="28"/>
      <c r="E298" s="81"/>
    </row>
    <row r="299">
      <c r="B299" s="28"/>
      <c r="C299" s="28"/>
      <c r="D299" s="28"/>
      <c r="E299" s="81"/>
    </row>
    <row r="300">
      <c r="B300" s="28"/>
      <c r="C300" s="28"/>
      <c r="D300" s="28"/>
      <c r="E300" s="81"/>
    </row>
    <row r="301">
      <c r="B301" s="28"/>
      <c r="C301" s="28"/>
      <c r="D301" s="28"/>
      <c r="E301" s="81"/>
    </row>
    <row r="302">
      <c r="B302" s="28"/>
      <c r="C302" s="28"/>
      <c r="D302" s="28"/>
      <c r="E302" s="81"/>
    </row>
    <row r="303">
      <c r="B303" s="28"/>
      <c r="C303" s="28"/>
      <c r="D303" s="28"/>
      <c r="E303" s="81"/>
    </row>
    <row r="304">
      <c r="B304" s="28"/>
      <c r="C304" s="28"/>
      <c r="D304" s="28"/>
      <c r="E304" s="81"/>
    </row>
    <row r="305">
      <c r="B305" s="28"/>
      <c r="C305" s="28"/>
      <c r="D305" s="28"/>
      <c r="E305" s="81"/>
    </row>
    <row r="306">
      <c r="B306" s="28"/>
      <c r="C306" s="28"/>
      <c r="D306" s="28"/>
      <c r="E306" s="81"/>
    </row>
    <row r="307">
      <c r="B307" s="28"/>
      <c r="C307" s="28"/>
      <c r="D307" s="28"/>
      <c r="E307" s="81"/>
    </row>
    <row r="308">
      <c r="B308" s="28"/>
      <c r="C308" s="28"/>
      <c r="D308" s="28"/>
      <c r="E308" s="81"/>
    </row>
    <row r="309">
      <c r="B309" s="28"/>
      <c r="C309" s="28"/>
      <c r="D309" s="28"/>
      <c r="E309" s="81"/>
    </row>
    <row r="310">
      <c r="B310" s="28"/>
      <c r="C310" s="28"/>
      <c r="D310" s="28"/>
      <c r="E310" s="81"/>
    </row>
    <row r="311">
      <c r="B311" s="28"/>
      <c r="C311" s="28"/>
      <c r="D311" s="28"/>
      <c r="E311" s="81"/>
    </row>
    <row r="312">
      <c r="B312" s="28"/>
      <c r="C312" s="28"/>
      <c r="D312" s="28"/>
      <c r="E312" s="81"/>
    </row>
    <row r="313">
      <c r="B313" s="28"/>
      <c r="C313" s="28"/>
      <c r="D313" s="28"/>
      <c r="E313" s="81"/>
    </row>
    <row r="314">
      <c r="B314" s="28"/>
      <c r="C314" s="28"/>
      <c r="D314" s="28"/>
      <c r="E314" s="81"/>
    </row>
    <row r="315">
      <c r="B315" s="28"/>
      <c r="C315" s="28"/>
      <c r="D315" s="28"/>
      <c r="E315" s="81"/>
    </row>
    <row r="316">
      <c r="B316" s="28"/>
      <c r="C316" s="28"/>
      <c r="D316" s="28"/>
      <c r="E316" s="81"/>
    </row>
    <row r="317">
      <c r="B317" s="28"/>
      <c r="C317" s="28"/>
      <c r="D317" s="28"/>
      <c r="E317" s="81"/>
    </row>
    <row r="318">
      <c r="B318" s="28"/>
      <c r="C318" s="28"/>
      <c r="D318" s="28"/>
      <c r="E318" s="81"/>
    </row>
    <row r="319">
      <c r="B319" s="28"/>
      <c r="C319" s="28"/>
      <c r="D319" s="28"/>
      <c r="E319" s="81"/>
    </row>
    <row r="320">
      <c r="B320" s="28"/>
      <c r="C320" s="28"/>
      <c r="D320" s="28"/>
      <c r="E320" s="81"/>
    </row>
    <row r="321">
      <c r="B321" s="28"/>
      <c r="C321" s="28"/>
      <c r="D321" s="28"/>
      <c r="E321" s="81"/>
    </row>
    <row r="322">
      <c r="B322" s="28"/>
      <c r="C322" s="28"/>
      <c r="D322" s="28"/>
      <c r="E322" s="81"/>
    </row>
    <row r="323">
      <c r="B323" s="28"/>
      <c r="C323" s="28"/>
      <c r="D323" s="28"/>
      <c r="E323" s="81"/>
    </row>
    <row r="324">
      <c r="B324" s="28"/>
      <c r="C324" s="28"/>
      <c r="D324" s="28"/>
      <c r="E324" s="81"/>
    </row>
    <row r="325">
      <c r="B325" s="28"/>
      <c r="C325" s="28"/>
      <c r="D325" s="28"/>
      <c r="E325" s="81"/>
    </row>
    <row r="326">
      <c r="B326" s="28"/>
      <c r="C326" s="28"/>
      <c r="D326" s="28"/>
      <c r="E326" s="81"/>
    </row>
    <row r="327">
      <c r="B327" s="28"/>
      <c r="C327" s="28"/>
      <c r="D327" s="28"/>
      <c r="E327" s="81"/>
    </row>
    <row r="328">
      <c r="B328" s="28"/>
      <c r="C328" s="28"/>
      <c r="D328" s="28"/>
      <c r="E328" s="81"/>
    </row>
    <row r="329">
      <c r="B329" s="28"/>
      <c r="C329" s="28"/>
      <c r="D329" s="28"/>
      <c r="E329" s="81"/>
    </row>
    <row r="330">
      <c r="B330" s="28"/>
      <c r="C330" s="28"/>
      <c r="D330" s="28"/>
      <c r="E330" s="81"/>
    </row>
    <row r="331">
      <c r="B331" s="28"/>
      <c r="C331" s="28"/>
      <c r="D331" s="28"/>
      <c r="E331" s="81"/>
    </row>
    <row r="332">
      <c r="B332" s="28"/>
      <c r="C332" s="28"/>
      <c r="D332" s="28"/>
      <c r="E332" s="81"/>
    </row>
    <row r="333">
      <c r="B333" s="28"/>
      <c r="C333" s="28"/>
      <c r="D333" s="28"/>
      <c r="E333" s="81"/>
    </row>
    <row r="334">
      <c r="B334" s="28"/>
      <c r="C334" s="28"/>
      <c r="D334" s="28"/>
      <c r="E334" s="81"/>
    </row>
    <row r="335">
      <c r="B335" s="28"/>
      <c r="C335" s="28"/>
      <c r="D335" s="28"/>
      <c r="E335" s="81"/>
    </row>
    <row r="336">
      <c r="B336" s="28"/>
      <c r="C336" s="28"/>
      <c r="D336" s="28"/>
      <c r="E336" s="81"/>
    </row>
    <row r="337">
      <c r="B337" s="28"/>
      <c r="C337" s="28"/>
      <c r="D337" s="28"/>
      <c r="E337" s="81"/>
    </row>
    <row r="338">
      <c r="B338" s="28"/>
      <c r="C338" s="28"/>
      <c r="D338" s="28"/>
      <c r="E338" s="81"/>
    </row>
    <row r="339">
      <c r="B339" s="28"/>
      <c r="C339" s="28"/>
      <c r="D339" s="28"/>
      <c r="E339" s="81"/>
    </row>
    <row r="340">
      <c r="B340" s="28"/>
      <c r="C340" s="28"/>
      <c r="D340" s="28"/>
      <c r="E340" s="81"/>
    </row>
    <row r="341">
      <c r="B341" s="28"/>
      <c r="C341" s="28"/>
      <c r="D341" s="28"/>
      <c r="E341" s="81"/>
    </row>
    <row r="342">
      <c r="B342" s="28"/>
      <c r="C342" s="28"/>
      <c r="D342" s="28"/>
      <c r="E342" s="81"/>
    </row>
    <row r="343">
      <c r="B343" s="28"/>
      <c r="C343" s="28"/>
      <c r="D343" s="28"/>
      <c r="E343" s="81"/>
    </row>
    <row r="344">
      <c r="B344" s="28"/>
      <c r="C344" s="28"/>
      <c r="D344" s="28"/>
      <c r="E344" s="81"/>
    </row>
    <row r="345">
      <c r="B345" s="28"/>
      <c r="C345" s="28"/>
      <c r="D345" s="28"/>
      <c r="E345" s="81"/>
    </row>
    <row r="346">
      <c r="B346" s="28"/>
      <c r="C346" s="28"/>
      <c r="D346" s="28"/>
      <c r="E346" s="81"/>
    </row>
    <row r="347">
      <c r="B347" s="28"/>
      <c r="C347" s="28"/>
      <c r="D347" s="28"/>
      <c r="E347" s="81"/>
    </row>
    <row r="348">
      <c r="B348" s="28"/>
      <c r="C348" s="28"/>
      <c r="D348" s="28"/>
      <c r="E348" s="81"/>
    </row>
    <row r="349">
      <c r="B349" s="28"/>
      <c r="C349" s="28"/>
      <c r="D349" s="28"/>
      <c r="E349" s="81"/>
    </row>
    <row r="350">
      <c r="B350" s="28"/>
      <c r="C350" s="28"/>
      <c r="D350" s="28"/>
      <c r="E350" s="81"/>
    </row>
    <row r="351">
      <c r="B351" s="28"/>
      <c r="C351" s="28"/>
      <c r="D351" s="28"/>
      <c r="E351" s="81"/>
    </row>
    <row r="352">
      <c r="B352" s="28"/>
      <c r="C352" s="28"/>
      <c r="D352" s="28"/>
      <c r="E352" s="81"/>
    </row>
    <row r="353">
      <c r="B353" s="28"/>
      <c r="C353" s="28"/>
      <c r="D353" s="28"/>
      <c r="E353" s="81"/>
    </row>
    <row r="354">
      <c r="B354" s="28"/>
      <c r="C354" s="28"/>
      <c r="D354" s="28"/>
      <c r="E354" s="81"/>
    </row>
    <row r="355">
      <c r="B355" s="28"/>
      <c r="C355" s="28"/>
      <c r="D355" s="28"/>
      <c r="E355" s="81"/>
    </row>
    <row r="356">
      <c r="B356" s="28"/>
      <c r="C356" s="28"/>
      <c r="D356" s="28"/>
      <c r="E356" s="81"/>
    </row>
    <row r="357">
      <c r="B357" s="28"/>
      <c r="C357" s="28"/>
      <c r="D357" s="28"/>
      <c r="E357" s="81"/>
    </row>
    <row r="358">
      <c r="B358" s="28"/>
      <c r="C358" s="28"/>
      <c r="D358" s="28"/>
      <c r="E358" s="81"/>
    </row>
    <row r="359">
      <c r="B359" s="28"/>
      <c r="C359" s="28"/>
      <c r="D359" s="28"/>
      <c r="E359" s="81"/>
    </row>
    <row r="360">
      <c r="B360" s="28"/>
      <c r="C360" s="28"/>
      <c r="D360" s="28"/>
      <c r="E360" s="81"/>
    </row>
    <row r="361">
      <c r="B361" s="28"/>
      <c r="C361" s="28"/>
      <c r="D361" s="28"/>
      <c r="E361" s="81"/>
    </row>
    <row r="362">
      <c r="B362" s="28"/>
      <c r="C362" s="28"/>
      <c r="D362" s="28"/>
      <c r="E362" s="81"/>
    </row>
    <row r="363">
      <c r="B363" s="28"/>
      <c r="C363" s="28"/>
      <c r="D363" s="28"/>
      <c r="E363" s="81"/>
    </row>
    <row r="364">
      <c r="B364" s="28"/>
      <c r="C364" s="28"/>
      <c r="D364" s="28"/>
      <c r="E364" s="81"/>
    </row>
    <row r="365">
      <c r="B365" s="28"/>
      <c r="C365" s="28"/>
      <c r="D365" s="28"/>
      <c r="E365" s="81"/>
    </row>
    <row r="366">
      <c r="B366" s="28"/>
      <c r="C366" s="28"/>
      <c r="D366" s="28"/>
      <c r="E366" s="81"/>
    </row>
    <row r="367">
      <c r="B367" s="28"/>
      <c r="C367" s="28"/>
      <c r="D367" s="28"/>
      <c r="E367" s="81"/>
    </row>
    <row r="368">
      <c r="B368" s="28"/>
      <c r="C368" s="28"/>
      <c r="D368" s="28"/>
      <c r="E368" s="81"/>
    </row>
    <row r="369">
      <c r="B369" s="28"/>
      <c r="C369" s="28"/>
      <c r="D369" s="28"/>
      <c r="E369" s="81"/>
    </row>
    <row r="370">
      <c r="B370" s="28"/>
      <c r="C370" s="28"/>
      <c r="D370" s="28"/>
      <c r="E370" s="81"/>
    </row>
    <row r="371">
      <c r="B371" s="28"/>
      <c r="C371" s="28"/>
      <c r="D371" s="28"/>
      <c r="E371" s="81"/>
    </row>
    <row r="372">
      <c r="B372" s="28"/>
      <c r="C372" s="28"/>
      <c r="D372" s="28"/>
      <c r="E372" s="81"/>
    </row>
    <row r="373">
      <c r="B373" s="28"/>
      <c r="C373" s="28"/>
      <c r="D373" s="28"/>
      <c r="E373" s="81"/>
    </row>
    <row r="374">
      <c r="B374" s="28"/>
      <c r="C374" s="28"/>
      <c r="D374" s="28"/>
      <c r="E374" s="81"/>
    </row>
    <row r="375">
      <c r="B375" s="28"/>
      <c r="C375" s="28"/>
      <c r="D375" s="28"/>
      <c r="E375" s="81"/>
    </row>
    <row r="376">
      <c r="B376" s="28"/>
      <c r="C376" s="28"/>
      <c r="D376" s="28"/>
      <c r="E376" s="81"/>
    </row>
    <row r="377">
      <c r="B377" s="28"/>
      <c r="C377" s="28"/>
      <c r="D377" s="28"/>
      <c r="E377" s="81"/>
    </row>
    <row r="378">
      <c r="B378" s="28"/>
      <c r="C378" s="28"/>
      <c r="D378" s="28"/>
      <c r="E378" s="81"/>
    </row>
    <row r="379">
      <c r="B379" s="28"/>
      <c r="C379" s="28"/>
      <c r="D379" s="28"/>
      <c r="E379" s="81"/>
    </row>
    <row r="380">
      <c r="B380" s="28"/>
      <c r="C380" s="28"/>
      <c r="D380" s="28"/>
      <c r="E380" s="81"/>
    </row>
    <row r="381">
      <c r="B381" s="28"/>
      <c r="C381" s="28"/>
      <c r="D381" s="28"/>
      <c r="E381" s="81"/>
    </row>
    <row r="382">
      <c r="B382" s="28"/>
      <c r="C382" s="28"/>
      <c r="D382" s="28"/>
      <c r="E382" s="81"/>
    </row>
    <row r="383">
      <c r="B383" s="28"/>
      <c r="C383" s="28"/>
      <c r="D383" s="28"/>
      <c r="E383" s="81"/>
    </row>
    <row r="384">
      <c r="B384" s="28"/>
      <c r="C384" s="28"/>
      <c r="D384" s="28"/>
      <c r="E384" s="81"/>
    </row>
    <row r="385">
      <c r="B385" s="28"/>
      <c r="C385" s="28"/>
      <c r="D385" s="28"/>
      <c r="E385" s="81"/>
    </row>
    <row r="386">
      <c r="B386" s="28"/>
      <c r="C386" s="28"/>
      <c r="D386" s="28"/>
      <c r="E386" s="81"/>
    </row>
    <row r="387">
      <c r="B387" s="28"/>
      <c r="C387" s="28"/>
      <c r="D387" s="28"/>
      <c r="E387" s="81"/>
    </row>
    <row r="388">
      <c r="B388" s="28"/>
      <c r="C388" s="28"/>
      <c r="D388" s="28"/>
      <c r="E388" s="81"/>
    </row>
    <row r="389">
      <c r="B389" s="28"/>
      <c r="C389" s="28"/>
      <c r="D389" s="28"/>
      <c r="E389" s="81"/>
    </row>
    <row r="390">
      <c r="B390" s="28"/>
      <c r="C390" s="28"/>
      <c r="D390" s="28"/>
      <c r="E390" s="81"/>
    </row>
    <row r="391">
      <c r="B391" s="28"/>
      <c r="C391" s="28"/>
      <c r="D391" s="28"/>
      <c r="E391" s="81"/>
    </row>
    <row r="392">
      <c r="B392" s="28"/>
      <c r="C392" s="28"/>
      <c r="D392" s="28"/>
      <c r="E392" s="81"/>
    </row>
    <row r="393">
      <c r="B393" s="28"/>
      <c r="C393" s="28"/>
      <c r="D393" s="28"/>
      <c r="E393" s="81"/>
    </row>
    <row r="394">
      <c r="B394" s="28"/>
      <c r="C394" s="28"/>
      <c r="D394" s="28"/>
      <c r="E394" s="81"/>
    </row>
    <row r="395">
      <c r="B395" s="28"/>
      <c r="C395" s="28"/>
      <c r="D395" s="28"/>
      <c r="E395" s="81"/>
    </row>
    <row r="396">
      <c r="B396" s="28"/>
      <c r="C396" s="28"/>
      <c r="D396" s="28"/>
      <c r="E396" s="81"/>
    </row>
    <row r="397">
      <c r="B397" s="28"/>
      <c r="C397" s="28"/>
      <c r="D397" s="28"/>
      <c r="E397" s="81"/>
    </row>
    <row r="398">
      <c r="B398" s="28"/>
      <c r="C398" s="28"/>
      <c r="D398" s="28"/>
      <c r="E398" s="81"/>
    </row>
    <row r="399">
      <c r="B399" s="28"/>
      <c r="C399" s="28"/>
      <c r="D399" s="28"/>
      <c r="E399" s="81"/>
    </row>
    <row r="400">
      <c r="B400" s="28"/>
      <c r="C400" s="28"/>
      <c r="D400" s="28"/>
      <c r="E400" s="81"/>
    </row>
    <row r="401">
      <c r="B401" s="28"/>
      <c r="C401" s="28"/>
      <c r="D401" s="28"/>
      <c r="E401" s="81"/>
    </row>
    <row r="402">
      <c r="B402" s="28"/>
      <c r="C402" s="28"/>
      <c r="D402" s="28"/>
      <c r="E402" s="81"/>
    </row>
    <row r="403">
      <c r="B403" s="28"/>
      <c r="C403" s="28"/>
      <c r="D403" s="28"/>
      <c r="E403" s="81"/>
    </row>
    <row r="404">
      <c r="B404" s="28"/>
      <c r="C404" s="28"/>
      <c r="D404" s="28"/>
      <c r="E404" s="81"/>
    </row>
    <row r="405">
      <c r="B405" s="28"/>
      <c r="C405" s="28"/>
      <c r="D405" s="28"/>
      <c r="E405" s="81"/>
    </row>
    <row r="406">
      <c r="B406" s="28"/>
      <c r="C406" s="28"/>
      <c r="D406" s="28"/>
      <c r="E406" s="81"/>
    </row>
    <row r="407">
      <c r="B407" s="28"/>
      <c r="C407" s="28"/>
      <c r="D407" s="28"/>
      <c r="E407" s="81"/>
    </row>
    <row r="408">
      <c r="B408" s="28"/>
      <c r="C408" s="28"/>
      <c r="D408" s="28"/>
      <c r="E408" s="81"/>
    </row>
    <row r="409">
      <c r="B409" s="28"/>
      <c r="C409" s="28"/>
      <c r="D409" s="28"/>
      <c r="E409" s="81"/>
    </row>
    <row r="410">
      <c r="B410" s="28"/>
      <c r="C410" s="28"/>
      <c r="D410" s="28"/>
      <c r="E410" s="81"/>
    </row>
    <row r="411">
      <c r="B411" s="28"/>
      <c r="C411" s="28"/>
      <c r="D411" s="28"/>
      <c r="E411" s="81"/>
    </row>
    <row r="412">
      <c r="B412" s="28"/>
      <c r="C412" s="28"/>
      <c r="D412" s="28"/>
      <c r="E412" s="81"/>
    </row>
    <row r="413">
      <c r="B413" s="28"/>
      <c r="C413" s="28"/>
      <c r="D413" s="28"/>
      <c r="E413" s="81"/>
    </row>
    <row r="414">
      <c r="B414" s="28"/>
      <c r="C414" s="28"/>
      <c r="D414" s="28"/>
      <c r="E414" s="81"/>
    </row>
    <row r="415">
      <c r="B415" s="28"/>
      <c r="C415" s="28"/>
      <c r="D415" s="28"/>
      <c r="E415" s="81"/>
    </row>
    <row r="416">
      <c r="B416" s="28"/>
      <c r="C416" s="28"/>
      <c r="D416" s="28"/>
      <c r="E416" s="81"/>
    </row>
    <row r="417">
      <c r="B417" s="28"/>
      <c r="C417" s="28"/>
      <c r="D417" s="28"/>
      <c r="E417" s="81"/>
    </row>
    <row r="418">
      <c r="B418" s="28"/>
      <c r="C418" s="28"/>
      <c r="D418" s="28"/>
      <c r="E418" s="81"/>
    </row>
    <row r="419">
      <c r="B419" s="28"/>
      <c r="C419" s="28"/>
      <c r="D419" s="28"/>
      <c r="E419" s="81"/>
    </row>
    <row r="420">
      <c r="B420" s="28"/>
      <c r="C420" s="28"/>
      <c r="D420" s="28"/>
      <c r="E420" s="81"/>
    </row>
    <row r="421">
      <c r="B421" s="28"/>
      <c r="C421" s="28"/>
      <c r="D421" s="28"/>
      <c r="E421" s="81"/>
    </row>
    <row r="422">
      <c r="B422" s="28"/>
      <c r="C422" s="28"/>
      <c r="D422" s="28"/>
      <c r="E422" s="81"/>
    </row>
    <row r="423">
      <c r="B423" s="28"/>
      <c r="C423" s="28"/>
      <c r="D423" s="28"/>
      <c r="E423" s="81"/>
    </row>
    <row r="424">
      <c r="B424" s="28"/>
      <c r="C424" s="28"/>
      <c r="D424" s="28"/>
      <c r="E424" s="81"/>
    </row>
    <row r="425">
      <c r="B425" s="28"/>
      <c r="C425" s="28"/>
      <c r="D425" s="28"/>
      <c r="E425" s="81"/>
    </row>
    <row r="426">
      <c r="B426" s="28"/>
      <c r="C426" s="28"/>
      <c r="D426" s="28"/>
      <c r="E426" s="81"/>
    </row>
    <row r="427">
      <c r="B427" s="28"/>
      <c r="C427" s="28"/>
      <c r="D427" s="28"/>
      <c r="E427" s="81"/>
    </row>
    <row r="428">
      <c r="B428" s="28"/>
      <c r="C428" s="28"/>
      <c r="D428" s="28"/>
      <c r="E428" s="81"/>
    </row>
    <row r="429">
      <c r="B429" s="28"/>
      <c r="C429" s="28"/>
      <c r="D429" s="28"/>
      <c r="E429" s="81"/>
    </row>
    <row r="430">
      <c r="B430" s="28"/>
      <c r="C430" s="28"/>
      <c r="D430" s="28"/>
      <c r="E430" s="81"/>
    </row>
    <row r="431">
      <c r="B431" s="28"/>
      <c r="C431" s="28"/>
      <c r="D431" s="28"/>
      <c r="E431" s="81"/>
    </row>
    <row r="432">
      <c r="B432" s="28"/>
      <c r="C432" s="28"/>
      <c r="D432" s="28"/>
      <c r="E432" s="81"/>
    </row>
    <row r="433">
      <c r="B433" s="28"/>
      <c r="C433" s="28"/>
      <c r="D433" s="28"/>
      <c r="E433" s="81"/>
    </row>
    <row r="434">
      <c r="B434" s="28"/>
      <c r="C434" s="28"/>
      <c r="D434" s="28"/>
      <c r="E434" s="81"/>
    </row>
    <row r="435">
      <c r="B435" s="28"/>
      <c r="C435" s="28"/>
      <c r="D435" s="28"/>
      <c r="E435" s="81"/>
    </row>
    <row r="436">
      <c r="B436" s="28"/>
      <c r="C436" s="28"/>
      <c r="D436" s="28"/>
      <c r="E436" s="81"/>
    </row>
    <row r="437">
      <c r="B437" s="28"/>
      <c r="C437" s="28"/>
      <c r="D437" s="28"/>
      <c r="E437" s="81"/>
    </row>
    <row r="438">
      <c r="B438" s="28"/>
      <c r="C438" s="28"/>
      <c r="D438" s="28"/>
      <c r="E438" s="81"/>
    </row>
    <row r="439">
      <c r="B439" s="28"/>
      <c r="C439" s="28"/>
      <c r="D439" s="28"/>
      <c r="E439" s="81"/>
    </row>
    <row r="440">
      <c r="B440" s="28"/>
      <c r="C440" s="28"/>
      <c r="D440" s="28"/>
      <c r="E440" s="81"/>
    </row>
    <row r="441">
      <c r="B441" s="28"/>
      <c r="C441" s="28"/>
      <c r="D441" s="28"/>
      <c r="E441" s="81"/>
    </row>
    <row r="442">
      <c r="B442" s="28"/>
      <c r="C442" s="28"/>
      <c r="D442" s="28"/>
      <c r="E442" s="81"/>
    </row>
    <row r="443">
      <c r="B443" s="28"/>
      <c r="C443" s="28"/>
      <c r="D443" s="28"/>
      <c r="E443" s="81"/>
    </row>
    <row r="444">
      <c r="B444" s="28"/>
      <c r="C444" s="28"/>
      <c r="D444" s="28"/>
      <c r="E444" s="81"/>
    </row>
    <row r="445">
      <c r="B445" s="28"/>
      <c r="C445" s="28"/>
      <c r="D445" s="28"/>
      <c r="E445" s="81"/>
    </row>
    <row r="446">
      <c r="B446" s="28"/>
      <c r="C446" s="28"/>
      <c r="D446" s="28"/>
      <c r="E446" s="81"/>
    </row>
    <row r="447">
      <c r="B447" s="28"/>
      <c r="C447" s="28"/>
      <c r="D447" s="28"/>
      <c r="E447" s="81"/>
    </row>
    <row r="448">
      <c r="B448" s="28"/>
      <c r="C448" s="28"/>
      <c r="D448" s="28"/>
      <c r="E448" s="81"/>
    </row>
    <row r="449">
      <c r="B449" s="28"/>
      <c r="C449" s="28"/>
      <c r="D449" s="28"/>
      <c r="E449" s="81"/>
    </row>
    <row r="450">
      <c r="B450" s="28"/>
      <c r="C450" s="28"/>
      <c r="D450" s="28"/>
      <c r="E450" s="81"/>
    </row>
    <row r="451">
      <c r="B451" s="28"/>
      <c r="C451" s="28"/>
      <c r="D451" s="28"/>
      <c r="E451" s="81"/>
    </row>
    <row r="452">
      <c r="B452" s="28"/>
      <c r="C452" s="28"/>
      <c r="D452" s="28"/>
      <c r="E452" s="81"/>
    </row>
    <row r="453">
      <c r="B453" s="28"/>
      <c r="C453" s="28"/>
      <c r="D453" s="28"/>
      <c r="E453" s="81"/>
    </row>
    <row r="454">
      <c r="B454" s="28"/>
      <c r="C454" s="28"/>
      <c r="D454" s="28"/>
      <c r="E454" s="81"/>
    </row>
    <row r="455">
      <c r="B455" s="28"/>
      <c r="C455" s="28"/>
      <c r="D455" s="28"/>
      <c r="E455" s="81"/>
    </row>
    <row r="456">
      <c r="B456" s="28"/>
      <c r="C456" s="28"/>
      <c r="D456" s="28"/>
      <c r="E456" s="81"/>
    </row>
    <row r="457">
      <c r="B457" s="28"/>
      <c r="C457" s="28"/>
      <c r="D457" s="28"/>
      <c r="E457" s="81"/>
    </row>
    <row r="458">
      <c r="B458" s="28"/>
      <c r="C458" s="28"/>
      <c r="D458" s="28"/>
      <c r="E458" s="81"/>
    </row>
    <row r="459">
      <c r="B459" s="28"/>
      <c r="C459" s="28"/>
      <c r="D459" s="28"/>
      <c r="E459" s="81"/>
    </row>
    <row r="460">
      <c r="B460" s="28"/>
      <c r="C460" s="28"/>
      <c r="D460" s="28"/>
      <c r="E460" s="81"/>
    </row>
    <row r="461">
      <c r="B461" s="28"/>
      <c r="C461" s="28"/>
      <c r="D461" s="28"/>
      <c r="E461" s="81"/>
    </row>
    <row r="462">
      <c r="B462" s="28"/>
      <c r="C462" s="28"/>
      <c r="D462" s="28"/>
      <c r="E462" s="81"/>
    </row>
    <row r="463">
      <c r="B463" s="28"/>
      <c r="C463" s="28"/>
      <c r="D463" s="28"/>
      <c r="E463" s="81"/>
    </row>
    <row r="464">
      <c r="B464" s="28"/>
      <c r="C464" s="28"/>
      <c r="D464" s="28"/>
      <c r="E464" s="81"/>
    </row>
    <row r="465">
      <c r="B465" s="28"/>
      <c r="C465" s="28"/>
      <c r="D465" s="28"/>
      <c r="E465" s="81"/>
    </row>
    <row r="466">
      <c r="B466" s="28"/>
      <c r="C466" s="28"/>
      <c r="D466" s="28"/>
      <c r="E466" s="81"/>
    </row>
    <row r="467">
      <c r="B467" s="28"/>
      <c r="C467" s="28"/>
      <c r="D467" s="28"/>
      <c r="E467" s="81"/>
    </row>
    <row r="468">
      <c r="B468" s="28"/>
      <c r="C468" s="28"/>
      <c r="D468" s="28"/>
      <c r="E468" s="81"/>
    </row>
    <row r="469">
      <c r="B469" s="28"/>
      <c r="C469" s="28"/>
      <c r="D469" s="28"/>
      <c r="E469" s="81"/>
    </row>
    <row r="470">
      <c r="B470" s="28"/>
      <c r="C470" s="28"/>
      <c r="D470" s="28"/>
      <c r="E470" s="81"/>
    </row>
    <row r="471">
      <c r="B471" s="28"/>
      <c r="C471" s="28"/>
      <c r="D471" s="28"/>
      <c r="E471" s="81"/>
    </row>
    <row r="472">
      <c r="B472" s="28"/>
      <c r="C472" s="28"/>
      <c r="D472" s="28"/>
      <c r="E472" s="81"/>
    </row>
    <row r="473">
      <c r="B473" s="28"/>
      <c r="C473" s="28"/>
      <c r="D473" s="28"/>
      <c r="E473" s="81"/>
    </row>
    <row r="474">
      <c r="B474" s="28"/>
      <c r="C474" s="28"/>
      <c r="D474" s="28"/>
      <c r="E474" s="81"/>
    </row>
    <row r="475">
      <c r="B475" s="28"/>
      <c r="C475" s="28"/>
      <c r="D475" s="28"/>
      <c r="E475" s="81"/>
    </row>
    <row r="476">
      <c r="B476" s="28"/>
      <c r="C476" s="28"/>
      <c r="D476" s="28"/>
      <c r="E476" s="81"/>
    </row>
    <row r="477">
      <c r="B477" s="28"/>
      <c r="C477" s="28"/>
      <c r="D477" s="28"/>
      <c r="E477" s="81"/>
    </row>
    <row r="478">
      <c r="B478" s="28"/>
      <c r="C478" s="28"/>
      <c r="D478" s="28"/>
      <c r="E478" s="81"/>
    </row>
    <row r="479">
      <c r="B479" s="28"/>
      <c r="C479" s="28"/>
      <c r="D479" s="28"/>
      <c r="E479" s="81"/>
    </row>
    <row r="480">
      <c r="B480" s="28"/>
      <c r="C480" s="28"/>
      <c r="D480" s="28"/>
      <c r="E480" s="81"/>
    </row>
    <row r="481">
      <c r="B481" s="28"/>
      <c r="C481" s="28"/>
      <c r="D481" s="28"/>
      <c r="E481" s="81"/>
    </row>
    <row r="482">
      <c r="B482" s="28"/>
      <c r="C482" s="28"/>
      <c r="D482" s="28"/>
      <c r="E482" s="81"/>
    </row>
    <row r="483">
      <c r="B483" s="28"/>
      <c r="C483" s="28"/>
      <c r="D483" s="28"/>
      <c r="E483" s="81"/>
    </row>
    <row r="484">
      <c r="B484" s="28"/>
      <c r="C484" s="28"/>
      <c r="D484" s="28"/>
      <c r="E484" s="81"/>
    </row>
    <row r="485">
      <c r="B485" s="28"/>
      <c r="C485" s="28"/>
      <c r="D485" s="28"/>
      <c r="E485" s="81"/>
    </row>
    <row r="486">
      <c r="B486" s="28"/>
      <c r="C486" s="28"/>
      <c r="D486" s="28"/>
      <c r="E486" s="81"/>
    </row>
    <row r="487">
      <c r="B487" s="28"/>
      <c r="C487" s="28"/>
      <c r="D487" s="28"/>
      <c r="E487" s="81"/>
    </row>
    <row r="488">
      <c r="B488" s="28"/>
      <c r="C488" s="28"/>
      <c r="D488" s="28"/>
      <c r="E488" s="81"/>
    </row>
    <row r="489">
      <c r="B489" s="28"/>
      <c r="C489" s="28"/>
      <c r="D489" s="28"/>
      <c r="E489" s="81"/>
    </row>
    <row r="490">
      <c r="B490" s="28"/>
      <c r="C490" s="28"/>
      <c r="D490" s="28"/>
      <c r="E490" s="81"/>
    </row>
    <row r="491">
      <c r="B491" s="28"/>
      <c r="C491" s="28"/>
      <c r="D491" s="28"/>
      <c r="E491" s="81"/>
    </row>
    <row r="492">
      <c r="B492" s="28"/>
      <c r="C492" s="28"/>
      <c r="D492" s="28"/>
      <c r="E492" s="81"/>
    </row>
    <row r="493">
      <c r="B493" s="28"/>
      <c r="C493" s="28"/>
      <c r="D493" s="28"/>
      <c r="E493" s="81"/>
    </row>
    <row r="494">
      <c r="B494" s="28"/>
      <c r="C494" s="28"/>
      <c r="D494" s="28"/>
      <c r="E494" s="81"/>
    </row>
    <row r="495">
      <c r="B495" s="28"/>
      <c r="C495" s="28"/>
      <c r="D495" s="28"/>
      <c r="E495" s="81"/>
    </row>
    <row r="496">
      <c r="B496" s="28"/>
      <c r="C496" s="28"/>
      <c r="D496" s="28"/>
      <c r="E496" s="81"/>
    </row>
    <row r="497">
      <c r="B497" s="28"/>
      <c r="C497" s="28"/>
      <c r="D497" s="28"/>
      <c r="E497" s="81"/>
    </row>
    <row r="498">
      <c r="B498" s="28"/>
      <c r="C498" s="28"/>
      <c r="D498" s="28"/>
      <c r="E498" s="81"/>
    </row>
    <row r="499">
      <c r="B499" s="28"/>
      <c r="C499" s="28"/>
      <c r="D499" s="28"/>
      <c r="E499" s="81"/>
    </row>
    <row r="500">
      <c r="B500" s="28"/>
      <c r="C500" s="28"/>
      <c r="D500" s="28"/>
      <c r="E500" s="81"/>
    </row>
    <row r="501">
      <c r="B501" s="28"/>
      <c r="C501" s="28"/>
      <c r="D501" s="28"/>
      <c r="E501" s="81"/>
    </row>
    <row r="502">
      <c r="B502" s="28"/>
      <c r="C502" s="28"/>
      <c r="D502" s="28"/>
      <c r="E502" s="81"/>
    </row>
    <row r="503">
      <c r="B503" s="28"/>
      <c r="C503" s="28"/>
      <c r="D503" s="28"/>
      <c r="E503" s="81"/>
    </row>
    <row r="504">
      <c r="B504" s="28"/>
      <c r="C504" s="28"/>
      <c r="D504" s="28"/>
      <c r="E504" s="81"/>
    </row>
    <row r="505">
      <c r="B505" s="28"/>
      <c r="C505" s="28"/>
      <c r="D505" s="28"/>
      <c r="E505" s="81"/>
    </row>
    <row r="506">
      <c r="B506" s="28"/>
      <c r="C506" s="28"/>
      <c r="D506" s="28"/>
      <c r="E506" s="81"/>
    </row>
    <row r="507">
      <c r="B507" s="28"/>
      <c r="C507" s="28"/>
      <c r="D507" s="28"/>
      <c r="E507" s="81"/>
    </row>
    <row r="508">
      <c r="B508" s="28"/>
      <c r="C508" s="28"/>
      <c r="D508" s="28"/>
      <c r="E508" s="81"/>
    </row>
    <row r="509">
      <c r="B509" s="28"/>
      <c r="C509" s="28"/>
      <c r="D509" s="28"/>
      <c r="E509" s="81"/>
    </row>
    <row r="510">
      <c r="B510" s="28"/>
      <c r="C510" s="28"/>
      <c r="D510" s="28"/>
      <c r="E510" s="81"/>
    </row>
    <row r="511">
      <c r="B511" s="28"/>
      <c r="C511" s="28"/>
      <c r="D511" s="28"/>
      <c r="E511" s="81"/>
    </row>
    <row r="512">
      <c r="B512" s="28"/>
      <c r="C512" s="28"/>
      <c r="D512" s="28"/>
      <c r="E512" s="81"/>
    </row>
    <row r="513">
      <c r="B513" s="28"/>
      <c r="C513" s="28"/>
      <c r="D513" s="28"/>
      <c r="E513" s="81"/>
    </row>
    <row r="514">
      <c r="B514" s="28"/>
      <c r="C514" s="28"/>
      <c r="D514" s="28"/>
      <c r="E514" s="81"/>
    </row>
    <row r="515">
      <c r="B515" s="28"/>
      <c r="C515" s="28"/>
      <c r="D515" s="28"/>
      <c r="E515" s="81"/>
    </row>
    <row r="516">
      <c r="B516" s="28"/>
      <c r="C516" s="28"/>
      <c r="D516" s="28"/>
      <c r="E516" s="81"/>
    </row>
    <row r="517">
      <c r="B517" s="28"/>
      <c r="C517" s="28"/>
      <c r="D517" s="28"/>
      <c r="E517" s="81"/>
    </row>
    <row r="518">
      <c r="B518" s="28"/>
      <c r="C518" s="28"/>
      <c r="D518" s="28"/>
      <c r="E518" s="81"/>
    </row>
    <row r="519">
      <c r="B519" s="28"/>
      <c r="C519" s="28"/>
      <c r="D519" s="28"/>
      <c r="E519" s="81"/>
    </row>
    <row r="520">
      <c r="B520" s="28"/>
      <c r="C520" s="28"/>
      <c r="D520" s="28"/>
      <c r="E520" s="81"/>
    </row>
    <row r="521">
      <c r="B521" s="28"/>
      <c r="C521" s="28"/>
      <c r="D521" s="28"/>
      <c r="E521" s="81"/>
    </row>
    <row r="522">
      <c r="B522" s="28"/>
      <c r="C522" s="28"/>
      <c r="D522" s="28"/>
      <c r="E522" s="81"/>
    </row>
    <row r="523">
      <c r="B523" s="28"/>
      <c r="C523" s="28"/>
      <c r="D523" s="28"/>
      <c r="E523" s="81"/>
    </row>
    <row r="524">
      <c r="B524" s="28"/>
      <c r="C524" s="28"/>
      <c r="D524" s="28"/>
      <c r="E524" s="81"/>
    </row>
    <row r="525">
      <c r="B525" s="28"/>
      <c r="C525" s="28"/>
      <c r="D525" s="28"/>
      <c r="E525" s="81"/>
    </row>
    <row r="526">
      <c r="B526" s="28"/>
      <c r="C526" s="28"/>
      <c r="D526" s="28"/>
      <c r="E526" s="81"/>
    </row>
    <row r="527">
      <c r="B527" s="28"/>
      <c r="C527" s="28"/>
      <c r="D527" s="28"/>
      <c r="E527" s="81"/>
    </row>
    <row r="528">
      <c r="B528" s="28"/>
      <c r="C528" s="28"/>
      <c r="D528" s="28"/>
      <c r="E528" s="81"/>
    </row>
    <row r="529">
      <c r="B529" s="28"/>
      <c r="C529" s="28"/>
      <c r="D529" s="28"/>
      <c r="E529" s="81"/>
    </row>
    <row r="530">
      <c r="B530" s="28"/>
      <c r="C530" s="28"/>
      <c r="D530" s="28"/>
      <c r="E530" s="81"/>
    </row>
    <row r="531">
      <c r="B531" s="28"/>
      <c r="C531" s="28"/>
      <c r="D531" s="28"/>
      <c r="E531" s="81"/>
    </row>
    <row r="532">
      <c r="B532" s="28"/>
      <c r="C532" s="28"/>
      <c r="D532" s="28"/>
      <c r="E532" s="81"/>
    </row>
    <row r="533">
      <c r="B533" s="28"/>
      <c r="C533" s="28"/>
      <c r="D533" s="28"/>
      <c r="E533" s="81"/>
    </row>
    <row r="534">
      <c r="B534" s="28"/>
      <c r="C534" s="28"/>
      <c r="D534" s="28"/>
      <c r="E534" s="81"/>
    </row>
    <row r="535">
      <c r="B535" s="28"/>
      <c r="C535" s="28"/>
      <c r="D535" s="28"/>
      <c r="E535" s="81"/>
    </row>
    <row r="536">
      <c r="B536" s="28"/>
      <c r="C536" s="28"/>
      <c r="D536" s="28"/>
      <c r="E536" s="81"/>
    </row>
    <row r="537">
      <c r="B537" s="28"/>
      <c r="C537" s="28"/>
      <c r="D537" s="28"/>
      <c r="E537" s="81"/>
    </row>
    <row r="538">
      <c r="B538" s="28"/>
      <c r="C538" s="28"/>
      <c r="D538" s="28"/>
      <c r="E538" s="81"/>
    </row>
    <row r="539">
      <c r="B539" s="28"/>
      <c r="C539" s="28"/>
      <c r="D539" s="28"/>
      <c r="E539" s="81"/>
    </row>
    <row r="540">
      <c r="B540" s="28"/>
      <c r="C540" s="28"/>
      <c r="D540" s="28"/>
      <c r="E540" s="81"/>
    </row>
    <row r="541">
      <c r="B541" s="28"/>
      <c r="C541" s="28"/>
      <c r="D541" s="28"/>
      <c r="E541" s="81"/>
    </row>
    <row r="542">
      <c r="B542" s="28"/>
      <c r="C542" s="28"/>
      <c r="D542" s="28"/>
      <c r="E542" s="81"/>
    </row>
    <row r="543">
      <c r="B543" s="28"/>
      <c r="C543" s="28"/>
      <c r="D543" s="28"/>
      <c r="E543" s="81"/>
    </row>
    <row r="544">
      <c r="B544" s="28"/>
      <c r="C544" s="28"/>
      <c r="D544" s="28"/>
      <c r="E544" s="81"/>
    </row>
    <row r="545">
      <c r="B545" s="28"/>
      <c r="C545" s="28"/>
      <c r="D545" s="28"/>
      <c r="E545" s="81"/>
    </row>
    <row r="546">
      <c r="B546" s="28"/>
      <c r="C546" s="28"/>
      <c r="D546" s="28"/>
      <c r="E546" s="81"/>
    </row>
    <row r="547">
      <c r="B547" s="28"/>
      <c r="C547" s="28"/>
      <c r="D547" s="28"/>
      <c r="E547" s="81"/>
    </row>
    <row r="548">
      <c r="B548" s="28"/>
      <c r="C548" s="28"/>
      <c r="D548" s="28"/>
      <c r="E548" s="81"/>
    </row>
    <row r="549">
      <c r="B549" s="28"/>
      <c r="C549" s="28"/>
      <c r="D549" s="28"/>
      <c r="E549" s="81"/>
    </row>
    <row r="550">
      <c r="B550" s="28"/>
      <c r="C550" s="28"/>
      <c r="D550" s="28"/>
      <c r="E550" s="81"/>
    </row>
    <row r="551">
      <c r="B551" s="28"/>
      <c r="C551" s="28"/>
      <c r="D551" s="28"/>
      <c r="E551" s="81"/>
    </row>
    <row r="552">
      <c r="B552" s="28"/>
      <c r="C552" s="28"/>
      <c r="D552" s="28"/>
      <c r="E552" s="81"/>
    </row>
    <row r="553">
      <c r="B553" s="28"/>
      <c r="C553" s="28"/>
      <c r="D553" s="28"/>
      <c r="E553" s="81"/>
    </row>
    <row r="554">
      <c r="B554" s="28"/>
      <c r="C554" s="28"/>
      <c r="D554" s="28"/>
      <c r="E554" s="81"/>
    </row>
    <row r="555">
      <c r="B555" s="28"/>
      <c r="C555" s="28"/>
      <c r="D555" s="28"/>
      <c r="E555" s="81"/>
    </row>
    <row r="556">
      <c r="B556" s="28"/>
      <c r="C556" s="28"/>
      <c r="D556" s="28"/>
      <c r="E556" s="81"/>
    </row>
    <row r="557">
      <c r="B557" s="28"/>
      <c r="C557" s="28"/>
      <c r="D557" s="28"/>
      <c r="E557" s="81"/>
    </row>
    <row r="558">
      <c r="B558" s="28"/>
      <c r="C558" s="28"/>
      <c r="D558" s="28"/>
      <c r="E558" s="81"/>
    </row>
    <row r="559">
      <c r="B559" s="28"/>
      <c r="C559" s="28"/>
      <c r="D559" s="28"/>
      <c r="E559" s="81"/>
    </row>
    <row r="560">
      <c r="B560" s="28"/>
      <c r="C560" s="28"/>
      <c r="D560" s="28"/>
      <c r="E560" s="81"/>
    </row>
    <row r="561">
      <c r="B561" s="28"/>
      <c r="C561" s="28"/>
      <c r="D561" s="28"/>
      <c r="E561" s="81"/>
    </row>
    <row r="562">
      <c r="B562" s="28"/>
      <c r="C562" s="28"/>
      <c r="D562" s="28"/>
      <c r="E562" s="81"/>
    </row>
    <row r="563">
      <c r="B563" s="28"/>
      <c r="C563" s="28"/>
      <c r="D563" s="28"/>
      <c r="E563" s="81"/>
    </row>
    <row r="564">
      <c r="B564" s="28"/>
      <c r="C564" s="28"/>
      <c r="D564" s="28"/>
      <c r="E564" s="81"/>
    </row>
    <row r="565">
      <c r="B565" s="28"/>
      <c r="C565" s="28"/>
      <c r="D565" s="28"/>
      <c r="E565" s="81"/>
    </row>
    <row r="566">
      <c r="B566" s="28"/>
      <c r="C566" s="28"/>
      <c r="D566" s="28"/>
      <c r="E566" s="81"/>
    </row>
    <row r="567">
      <c r="B567" s="28"/>
      <c r="C567" s="28"/>
      <c r="D567" s="28"/>
      <c r="E567" s="81"/>
    </row>
    <row r="568">
      <c r="B568" s="28"/>
      <c r="C568" s="28"/>
      <c r="D568" s="28"/>
      <c r="E568" s="81"/>
    </row>
    <row r="569">
      <c r="B569" s="28"/>
      <c r="C569" s="28"/>
      <c r="D569" s="28"/>
      <c r="E569" s="81"/>
    </row>
    <row r="570">
      <c r="B570" s="28"/>
      <c r="C570" s="28"/>
      <c r="D570" s="28"/>
      <c r="E570" s="81"/>
    </row>
    <row r="571">
      <c r="B571" s="28"/>
      <c r="C571" s="28"/>
      <c r="D571" s="28"/>
      <c r="E571" s="81"/>
    </row>
    <row r="572">
      <c r="B572" s="28"/>
      <c r="C572" s="28"/>
      <c r="D572" s="28"/>
      <c r="E572" s="81"/>
    </row>
    <row r="573">
      <c r="B573" s="28"/>
      <c r="C573" s="28"/>
      <c r="D573" s="28"/>
      <c r="E573" s="81"/>
    </row>
    <row r="574">
      <c r="B574" s="28"/>
      <c r="C574" s="28"/>
      <c r="D574" s="28"/>
      <c r="E574" s="81"/>
    </row>
    <row r="575">
      <c r="B575" s="28"/>
      <c r="C575" s="28"/>
      <c r="D575" s="28"/>
      <c r="E575" s="81"/>
    </row>
    <row r="576">
      <c r="B576" s="28"/>
      <c r="C576" s="28"/>
      <c r="D576" s="28"/>
      <c r="E576" s="81"/>
    </row>
    <row r="577">
      <c r="B577" s="28"/>
      <c r="C577" s="28"/>
      <c r="D577" s="28"/>
      <c r="E577" s="81"/>
    </row>
    <row r="578">
      <c r="B578" s="28"/>
      <c r="C578" s="28"/>
      <c r="D578" s="28"/>
      <c r="E578" s="81"/>
    </row>
    <row r="579">
      <c r="B579" s="28"/>
      <c r="C579" s="28"/>
      <c r="D579" s="28"/>
      <c r="E579" s="81"/>
    </row>
    <row r="580">
      <c r="B580" s="28"/>
      <c r="C580" s="28"/>
      <c r="D580" s="28"/>
      <c r="E580" s="81"/>
    </row>
    <row r="581">
      <c r="B581" s="28"/>
      <c r="C581" s="28"/>
      <c r="D581" s="28"/>
      <c r="E581" s="81"/>
    </row>
    <row r="582">
      <c r="B582" s="28"/>
      <c r="C582" s="28"/>
      <c r="D582" s="28"/>
      <c r="E582" s="81"/>
    </row>
    <row r="583">
      <c r="B583" s="28"/>
      <c r="C583" s="28"/>
      <c r="D583" s="28"/>
      <c r="E583" s="81"/>
    </row>
    <row r="584">
      <c r="B584" s="28"/>
      <c r="C584" s="28"/>
      <c r="D584" s="28"/>
      <c r="E584" s="81"/>
    </row>
    <row r="585">
      <c r="B585" s="28"/>
      <c r="C585" s="28"/>
      <c r="D585" s="28"/>
      <c r="E585" s="81"/>
    </row>
    <row r="586">
      <c r="B586" s="28"/>
      <c r="C586" s="28"/>
      <c r="D586" s="28"/>
      <c r="E586" s="81"/>
    </row>
    <row r="587">
      <c r="B587" s="28"/>
      <c r="C587" s="28"/>
      <c r="D587" s="28"/>
      <c r="E587" s="81"/>
    </row>
    <row r="588">
      <c r="B588" s="28"/>
      <c r="C588" s="28"/>
      <c r="D588" s="28"/>
      <c r="E588" s="81"/>
    </row>
    <row r="589">
      <c r="B589" s="28"/>
      <c r="C589" s="28"/>
      <c r="D589" s="28"/>
      <c r="E589" s="81"/>
    </row>
    <row r="590">
      <c r="B590" s="28"/>
      <c r="C590" s="28"/>
      <c r="D590" s="28"/>
      <c r="E590" s="81"/>
    </row>
    <row r="591">
      <c r="B591" s="28"/>
      <c r="C591" s="28"/>
      <c r="D591" s="28"/>
      <c r="E591" s="81"/>
    </row>
    <row r="592">
      <c r="B592" s="28"/>
      <c r="C592" s="28"/>
      <c r="D592" s="28"/>
      <c r="E592" s="81"/>
    </row>
    <row r="593">
      <c r="B593" s="28"/>
      <c r="C593" s="28"/>
      <c r="D593" s="28"/>
      <c r="E593" s="81"/>
    </row>
    <row r="594">
      <c r="B594" s="28"/>
      <c r="C594" s="28"/>
      <c r="D594" s="28"/>
      <c r="E594" s="81"/>
    </row>
    <row r="595">
      <c r="B595" s="28"/>
      <c r="C595" s="28"/>
      <c r="D595" s="28"/>
      <c r="E595" s="81"/>
    </row>
    <row r="596">
      <c r="B596" s="28"/>
      <c r="C596" s="28"/>
      <c r="D596" s="28"/>
      <c r="E596" s="81"/>
    </row>
    <row r="597">
      <c r="B597" s="28"/>
      <c r="C597" s="28"/>
      <c r="D597" s="28"/>
      <c r="E597" s="81"/>
    </row>
    <row r="598">
      <c r="B598" s="28"/>
      <c r="C598" s="28"/>
      <c r="D598" s="28"/>
      <c r="E598" s="81"/>
    </row>
    <row r="599">
      <c r="B599" s="28"/>
      <c r="C599" s="28"/>
      <c r="D599" s="28"/>
      <c r="E599" s="81"/>
    </row>
    <row r="600">
      <c r="B600" s="28"/>
      <c r="C600" s="28"/>
      <c r="D600" s="28"/>
      <c r="E600" s="81"/>
    </row>
    <row r="601">
      <c r="B601" s="28"/>
      <c r="C601" s="28"/>
      <c r="D601" s="28"/>
      <c r="E601" s="81"/>
    </row>
    <row r="602">
      <c r="B602" s="28"/>
      <c r="C602" s="28"/>
      <c r="D602" s="28"/>
      <c r="E602" s="81"/>
    </row>
    <row r="603">
      <c r="B603" s="28"/>
      <c r="C603" s="28"/>
      <c r="D603" s="28"/>
      <c r="E603" s="81"/>
    </row>
    <row r="604">
      <c r="B604" s="28"/>
      <c r="C604" s="28"/>
      <c r="D604" s="28"/>
      <c r="E604" s="81"/>
    </row>
    <row r="605">
      <c r="B605" s="28"/>
      <c r="C605" s="28"/>
      <c r="D605" s="28"/>
      <c r="E605" s="81"/>
    </row>
    <row r="606">
      <c r="B606" s="28"/>
      <c r="C606" s="28"/>
      <c r="D606" s="28"/>
      <c r="E606" s="81"/>
    </row>
    <row r="607">
      <c r="B607" s="28"/>
      <c r="C607" s="28"/>
      <c r="D607" s="28"/>
      <c r="E607" s="81"/>
    </row>
    <row r="608">
      <c r="B608" s="28"/>
      <c r="C608" s="28"/>
      <c r="D608" s="28"/>
      <c r="E608" s="81"/>
    </row>
    <row r="609">
      <c r="B609" s="28"/>
      <c r="C609" s="28"/>
      <c r="D609" s="28"/>
      <c r="E609" s="81"/>
    </row>
    <row r="610">
      <c r="B610" s="28"/>
      <c r="C610" s="28"/>
      <c r="D610" s="28"/>
      <c r="E610" s="81"/>
    </row>
    <row r="611">
      <c r="B611" s="28"/>
      <c r="C611" s="28"/>
      <c r="D611" s="28"/>
      <c r="E611" s="81"/>
    </row>
    <row r="612">
      <c r="B612" s="28"/>
      <c r="C612" s="28"/>
      <c r="D612" s="28"/>
      <c r="E612" s="81"/>
    </row>
    <row r="613">
      <c r="B613" s="28"/>
      <c r="C613" s="28"/>
      <c r="D613" s="28"/>
      <c r="E613" s="81"/>
    </row>
    <row r="614">
      <c r="B614" s="28"/>
      <c r="C614" s="28"/>
      <c r="D614" s="28"/>
      <c r="E614" s="81"/>
    </row>
    <row r="615">
      <c r="B615" s="28"/>
      <c r="C615" s="28"/>
      <c r="D615" s="28"/>
      <c r="E615" s="81"/>
    </row>
    <row r="616">
      <c r="B616" s="28"/>
      <c r="C616" s="28"/>
      <c r="D616" s="28"/>
      <c r="E616" s="81"/>
    </row>
    <row r="617">
      <c r="B617" s="28"/>
      <c r="C617" s="28"/>
      <c r="D617" s="28"/>
      <c r="E617" s="81"/>
    </row>
    <row r="618">
      <c r="B618" s="28"/>
      <c r="C618" s="28"/>
      <c r="D618" s="28"/>
      <c r="E618" s="81"/>
    </row>
    <row r="619">
      <c r="B619" s="28"/>
      <c r="C619" s="28"/>
      <c r="D619" s="28"/>
      <c r="E619" s="81"/>
    </row>
    <row r="620">
      <c r="B620" s="28"/>
      <c r="C620" s="28"/>
      <c r="D620" s="28"/>
      <c r="E620" s="81"/>
    </row>
    <row r="621">
      <c r="B621" s="28"/>
      <c r="C621" s="28"/>
      <c r="D621" s="28"/>
      <c r="E621" s="81"/>
    </row>
    <row r="622">
      <c r="B622" s="28"/>
      <c r="C622" s="28"/>
      <c r="D622" s="28"/>
      <c r="E622" s="81"/>
    </row>
    <row r="623">
      <c r="B623" s="28"/>
      <c r="C623" s="28"/>
      <c r="D623" s="28"/>
      <c r="E623" s="81"/>
    </row>
    <row r="624">
      <c r="B624" s="28"/>
      <c r="C624" s="28"/>
      <c r="D624" s="28"/>
      <c r="E624" s="81"/>
    </row>
    <row r="625">
      <c r="B625" s="28"/>
      <c r="C625" s="28"/>
      <c r="D625" s="28"/>
      <c r="E625" s="81"/>
    </row>
    <row r="626">
      <c r="B626" s="28"/>
      <c r="C626" s="28"/>
      <c r="D626" s="28"/>
      <c r="E626" s="81"/>
    </row>
    <row r="627">
      <c r="B627" s="28"/>
      <c r="C627" s="28"/>
      <c r="D627" s="28"/>
      <c r="E627" s="81"/>
    </row>
    <row r="628">
      <c r="B628" s="28"/>
      <c r="C628" s="28"/>
      <c r="D628" s="28"/>
      <c r="E628" s="81"/>
    </row>
    <row r="629">
      <c r="B629" s="28"/>
      <c r="C629" s="28"/>
      <c r="D629" s="28"/>
      <c r="E629" s="81"/>
    </row>
    <row r="630">
      <c r="B630" s="28"/>
      <c r="C630" s="28"/>
      <c r="D630" s="28"/>
      <c r="E630" s="81"/>
    </row>
    <row r="631">
      <c r="B631" s="28"/>
      <c r="C631" s="28"/>
      <c r="D631" s="28"/>
      <c r="E631" s="81"/>
    </row>
    <row r="632">
      <c r="B632" s="28"/>
      <c r="C632" s="28"/>
      <c r="D632" s="28"/>
      <c r="E632" s="81"/>
    </row>
    <row r="633">
      <c r="B633" s="28"/>
      <c r="C633" s="28"/>
      <c r="D633" s="28"/>
      <c r="E633" s="81"/>
    </row>
    <row r="634">
      <c r="B634" s="28"/>
      <c r="C634" s="28"/>
      <c r="D634" s="28"/>
      <c r="E634" s="81"/>
    </row>
    <row r="635">
      <c r="B635" s="28"/>
      <c r="C635" s="28"/>
      <c r="D635" s="28"/>
      <c r="E635" s="81"/>
    </row>
    <row r="636">
      <c r="B636" s="28"/>
      <c r="C636" s="28"/>
      <c r="D636" s="28"/>
      <c r="E636" s="81"/>
    </row>
    <row r="637">
      <c r="B637" s="28"/>
      <c r="C637" s="28"/>
      <c r="D637" s="28"/>
      <c r="E637" s="81"/>
    </row>
    <row r="638">
      <c r="B638" s="28"/>
      <c r="C638" s="28"/>
      <c r="D638" s="28"/>
      <c r="E638" s="81"/>
    </row>
    <row r="639">
      <c r="B639" s="28"/>
      <c r="C639" s="28"/>
      <c r="D639" s="28"/>
      <c r="E639" s="81"/>
    </row>
    <row r="640">
      <c r="B640" s="28"/>
      <c r="C640" s="28"/>
      <c r="D640" s="28"/>
      <c r="E640" s="81"/>
    </row>
    <row r="641">
      <c r="B641" s="28"/>
      <c r="C641" s="28"/>
      <c r="D641" s="28"/>
      <c r="E641" s="81"/>
    </row>
    <row r="642">
      <c r="B642" s="28"/>
      <c r="C642" s="28"/>
      <c r="D642" s="28"/>
      <c r="E642" s="81"/>
    </row>
    <row r="643">
      <c r="B643" s="28"/>
      <c r="C643" s="28"/>
      <c r="D643" s="28"/>
      <c r="E643" s="81"/>
    </row>
    <row r="644">
      <c r="B644" s="28"/>
      <c r="C644" s="28"/>
      <c r="D644" s="28"/>
      <c r="E644" s="81"/>
    </row>
    <row r="645">
      <c r="B645" s="28"/>
      <c r="C645" s="28"/>
      <c r="D645" s="28"/>
      <c r="E645" s="81"/>
    </row>
    <row r="646">
      <c r="B646" s="28"/>
      <c r="C646" s="28"/>
      <c r="D646" s="28"/>
      <c r="E646" s="81"/>
    </row>
    <row r="647">
      <c r="B647" s="28"/>
      <c r="C647" s="28"/>
      <c r="D647" s="28"/>
      <c r="E647" s="81"/>
    </row>
    <row r="648">
      <c r="B648" s="28"/>
      <c r="C648" s="28"/>
      <c r="D648" s="28"/>
      <c r="E648" s="81"/>
    </row>
    <row r="649">
      <c r="B649" s="28"/>
      <c r="C649" s="28"/>
      <c r="D649" s="28"/>
      <c r="E649" s="81"/>
    </row>
    <row r="650">
      <c r="B650" s="28"/>
      <c r="C650" s="28"/>
      <c r="D650" s="28"/>
      <c r="E650" s="81"/>
    </row>
    <row r="651">
      <c r="B651" s="28"/>
      <c r="C651" s="28"/>
      <c r="D651" s="28"/>
      <c r="E651" s="81"/>
    </row>
    <row r="652">
      <c r="B652" s="28"/>
      <c r="C652" s="28"/>
      <c r="D652" s="28"/>
      <c r="E652" s="81"/>
    </row>
    <row r="653">
      <c r="B653" s="28"/>
      <c r="C653" s="28"/>
      <c r="D653" s="28"/>
      <c r="E653" s="81"/>
    </row>
    <row r="654">
      <c r="B654" s="28"/>
      <c r="C654" s="28"/>
      <c r="D654" s="28"/>
      <c r="E654" s="81"/>
    </row>
    <row r="655">
      <c r="B655" s="28"/>
      <c r="C655" s="28"/>
      <c r="D655" s="28"/>
      <c r="E655" s="81"/>
    </row>
    <row r="656">
      <c r="B656" s="28"/>
      <c r="C656" s="28"/>
      <c r="D656" s="28"/>
      <c r="E656" s="81"/>
    </row>
    <row r="657">
      <c r="B657" s="28"/>
      <c r="C657" s="28"/>
      <c r="D657" s="28"/>
      <c r="E657" s="81"/>
    </row>
    <row r="658">
      <c r="B658" s="28"/>
      <c r="C658" s="28"/>
      <c r="D658" s="28"/>
      <c r="E658" s="81"/>
    </row>
    <row r="659">
      <c r="B659" s="28"/>
      <c r="C659" s="28"/>
      <c r="D659" s="28"/>
      <c r="E659" s="81"/>
    </row>
    <row r="660">
      <c r="B660" s="28"/>
      <c r="C660" s="28"/>
      <c r="D660" s="28"/>
      <c r="E660" s="81"/>
    </row>
    <row r="661">
      <c r="B661" s="28"/>
      <c r="C661" s="28"/>
      <c r="D661" s="28"/>
      <c r="E661" s="81"/>
    </row>
    <row r="662">
      <c r="B662" s="28"/>
      <c r="C662" s="28"/>
      <c r="D662" s="28"/>
      <c r="E662" s="81"/>
    </row>
    <row r="663">
      <c r="B663" s="28"/>
      <c r="C663" s="28"/>
      <c r="D663" s="28"/>
      <c r="E663" s="81"/>
    </row>
    <row r="664">
      <c r="B664" s="28"/>
      <c r="C664" s="28"/>
      <c r="D664" s="28"/>
      <c r="E664" s="81"/>
    </row>
    <row r="665">
      <c r="B665" s="28"/>
      <c r="C665" s="28"/>
      <c r="D665" s="28"/>
      <c r="E665" s="81"/>
    </row>
    <row r="666">
      <c r="B666" s="28"/>
      <c r="C666" s="28"/>
      <c r="D666" s="28"/>
      <c r="E666" s="81"/>
    </row>
    <row r="667">
      <c r="B667" s="28"/>
      <c r="C667" s="28"/>
      <c r="D667" s="28"/>
      <c r="E667" s="81"/>
    </row>
    <row r="668">
      <c r="B668" s="28"/>
      <c r="C668" s="28"/>
      <c r="D668" s="28"/>
      <c r="E668" s="81"/>
    </row>
    <row r="669">
      <c r="B669" s="28"/>
      <c r="C669" s="28"/>
      <c r="D669" s="28"/>
      <c r="E669" s="81"/>
    </row>
    <row r="670">
      <c r="B670" s="28"/>
      <c r="C670" s="28"/>
      <c r="D670" s="28"/>
      <c r="E670" s="81"/>
    </row>
    <row r="671">
      <c r="B671" s="28"/>
      <c r="C671" s="28"/>
      <c r="D671" s="28"/>
      <c r="E671" s="81"/>
    </row>
    <row r="672">
      <c r="B672" s="28"/>
      <c r="C672" s="28"/>
      <c r="D672" s="28"/>
      <c r="E672" s="81"/>
    </row>
    <row r="673">
      <c r="B673" s="28"/>
      <c r="C673" s="28"/>
      <c r="D673" s="28"/>
      <c r="E673" s="81"/>
    </row>
    <row r="674">
      <c r="B674" s="28"/>
      <c r="C674" s="28"/>
      <c r="D674" s="28"/>
      <c r="E674" s="81"/>
    </row>
    <row r="675">
      <c r="B675" s="28"/>
      <c r="C675" s="28"/>
      <c r="D675" s="28"/>
      <c r="E675" s="81"/>
    </row>
    <row r="676">
      <c r="B676" s="28"/>
      <c r="C676" s="28"/>
      <c r="D676" s="28"/>
      <c r="E676" s="81"/>
    </row>
    <row r="677">
      <c r="B677" s="28"/>
      <c r="C677" s="28"/>
      <c r="D677" s="28"/>
      <c r="E677" s="81"/>
    </row>
    <row r="678">
      <c r="B678" s="28"/>
      <c r="C678" s="28"/>
      <c r="D678" s="28"/>
      <c r="E678" s="81"/>
    </row>
    <row r="679">
      <c r="B679" s="28"/>
      <c r="C679" s="28"/>
      <c r="D679" s="28"/>
      <c r="E679" s="81"/>
    </row>
    <row r="680">
      <c r="B680" s="28"/>
      <c r="C680" s="28"/>
      <c r="D680" s="28"/>
      <c r="E680" s="81"/>
    </row>
    <row r="681">
      <c r="B681" s="28"/>
      <c r="C681" s="28"/>
      <c r="D681" s="28"/>
      <c r="E681" s="81"/>
    </row>
    <row r="682">
      <c r="B682" s="28"/>
      <c r="C682" s="28"/>
      <c r="D682" s="28"/>
      <c r="E682" s="81"/>
    </row>
    <row r="683">
      <c r="B683" s="28"/>
      <c r="C683" s="28"/>
      <c r="D683" s="28"/>
      <c r="E683" s="81"/>
    </row>
    <row r="684">
      <c r="B684" s="28"/>
      <c r="C684" s="28"/>
      <c r="D684" s="28"/>
      <c r="E684" s="81"/>
    </row>
    <row r="685">
      <c r="B685" s="28"/>
      <c r="C685" s="28"/>
      <c r="D685" s="28"/>
      <c r="E685" s="81"/>
    </row>
    <row r="686">
      <c r="B686" s="28"/>
      <c r="C686" s="28"/>
      <c r="D686" s="28"/>
      <c r="E686" s="81"/>
    </row>
    <row r="687">
      <c r="B687" s="28"/>
      <c r="C687" s="28"/>
      <c r="D687" s="28"/>
      <c r="E687" s="81"/>
    </row>
    <row r="688">
      <c r="B688" s="28"/>
      <c r="C688" s="28"/>
      <c r="D688" s="28"/>
      <c r="E688" s="81"/>
    </row>
    <row r="689">
      <c r="B689" s="28"/>
      <c r="C689" s="28"/>
      <c r="D689" s="28"/>
      <c r="E689" s="81"/>
    </row>
    <row r="690">
      <c r="B690" s="28"/>
      <c r="C690" s="28"/>
      <c r="D690" s="28"/>
      <c r="E690" s="81"/>
    </row>
    <row r="691">
      <c r="B691" s="28"/>
      <c r="C691" s="28"/>
      <c r="D691" s="28"/>
      <c r="E691" s="81"/>
    </row>
    <row r="692">
      <c r="B692" s="28"/>
      <c r="C692" s="28"/>
      <c r="D692" s="28"/>
      <c r="E692" s="81"/>
    </row>
    <row r="693">
      <c r="B693" s="28"/>
      <c r="C693" s="28"/>
      <c r="D693" s="28"/>
      <c r="E693" s="81"/>
    </row>
    <row r="694">
      <c r="B694" s="28"/>
      <c r="C694" s="28"/>
      <c r="D694" s="28"/>
      <c r="E694" s="81"/>
    </row>
    <row r="695">
      <c r="B695" s="28"/>
      <c r="C695" s="28"/>
      <c r="D695" s="28"/>
      <c r="E695" s="81"/>
    </row>
    <row r="696">
      <c r="B696" s="28"/>
      <c r="C696" s="28"/>
      <c r="D696" s="28"/>
      <c r="E696" s="81"/>
    </row>
    <row r="697">
      <c r="B697" s="28"/>
      <c r="C697" s="28"/>
      <c r="D697" s="28"/>
      <c r="E697" s="81"/>
    </row>
    <row r="698">
      <c r="B698" s="28"/>
      <c r="C698" s="28"/>
      <c r="D698" s="28"/>
      <c r="E698" s="81"/>
    </row>
    <row r="699">
      <c r="B699" s="28"/>
      <c r="C699" s="28"/>
      <c r="D699" s="28"/>
      <c r="E699" s="81"/>
    </row>
    <row r="700">
      <c r="B700" s="28"/>
      <c r="C700" s="28"/>
      <c r="D700" s="28"/>
      <c r="E700" s="81"/>
    </row>
    <row r="701">
      <c r="B701" s="28"/>
      <c r="C701" s="28"/>
      <c r="D701" s="28"/>
      <c r="E701" s="81"/>
    </row>
    <row r="702">
      <c r="B702" s="28"/>
      <c r="C702" s="28"/>
      <c r="D702" s="28"/>
      <c r="E702" s="81"/>
    </row>
    <row r="703">
      <c r="B703" s="28"/>
      <c r="C703" s="28"/>
      <c r="D703" s="28"/>
      <c r="E703" s="81"/>
    </row>
    <row r="704">
      <c r="B704" s="28"/>
      <c r="C704" s="28"/>
      <c r="D704" s="28"/>
      <c r="E704" s="81"/>
    </row>
    <row r="705">
      <c r="B705" s="28"/>
      <c r="C705" s="28"/>
      <c r="D705" s="28"/>
      <c r="E705" s="81"/>
    </row>
    <row r="706">
      <c r="B706" s="28"/>
      <c r="C706" s="28"/>
      <c r="D706" s="28"/>
      <c r="E706" s="81"/>
    </row>
    <row r="707">
      <c r="B707" s="28"/>
      <c r="C707" s="28"/>
      <c r="D707" s="28"/>
      <c r="E707" s="81"/>
    </row>
    <row r="708">
      <c r="B708" s="28"/>
      <c r="C708" s="28"/>
      <c r="D708" s="28"/>
      <c r="E708" s="81"/>
    </row>
    <row r="709">
      <c r="B709" s="28"/>
      <c r="C709" s="28"/>
      <c r="D709" s="28"/>
      <c r="E709" s="81"/>
    </row>
    <row r="710">
      <c r="B710" s="28"/>
      <c r="C710" s="28"/>
      <c r="D710" s="28"/>
      <c r="E710" s="81"/>
    </row>
    <row r="711">
      <c r="B711" s="28"/>
      <c r="C711" s="28"/>
      <c r="D711" s="28"/>
      <c r="E711" s="81"/>
    </row>
    <row r="712">
      <c r="B712" s="28"/>
      <c r="C712" s="28"/>
      <c r="D712" s="28"/>
      <c r="E712" s="81"/>
    </row>
    <row r="713">
      <c r="B713" s="28"/>
      <c r="C713" s="28"/>
      <c r="D713" s="28"/>
      <c r="E713" s="81"/>
    </row>
    <row r="714">
      <c r="B714" s="28"/>
      <c r="C714" s="28"/>
      <c r="D714" s="28"/>
      <c r="E714" s="81"/>
    </row>
    <row r="715">
      <c r="B715" s="28"/>
      <c r="C715" s="28"/>
      <c r="D715" s="28"/>
      <c r="E715" s="81"/>
    </row>
    <row r="716">
      <c r="B716" s="28"/>
      <c r="C716" s="28"/>
      <c r="D716" s="28"/>
      <c r="E716" s="81"/>
    </row>
    <row r="717">
      <c r="B717" s="28"/>
      <c r="C717" s="28"/>
      <c r="D717" s="28"/>
      <c r="E717" s="81"/>
    </row>
    <row r="718">
      <c r="B718" s="28"/>
      <c r="C718" s="28"/>
      <c r="D718" s="28"/>
      <c r="E718" s="81"/>
    </row>
    <row r="719">
      <c r="B719" s="28"/>
      <c r="C719" s="28"/>
      <c r="D719" s="28"/>
      <c r="E719" s="81"/>
    </row>
    <row r="720">
      <c r="B720" s="28"/>
      <c r="C720" s="28"/>
      <c r="D720" s="28"/>
      <c r="E720" s="81"/>
    </row>
    <row r="721">
      <c r="B721" s="28"/>
      <c r="C721" s="28"/>
      <c r="D721" s="28"/>
      <c r="E721" s="81"/>
    </row>
    <row r="722">
      <c r="B722" s="28"/>
      <c r="C722" s="28"/>
      <c r="D722" s="28"/>
      <c r="E722" s="81"/>
    </row>
    <row r="723">
      <c r="B723" s="28"/>
      <c r="C723" s="28"/>
      <c r="D723" s="28"/>
      <c r="E723" s="81"/>
    </row>
    <row r="724">
      <c r="B724" s="28"/>
      <c r="C724" s="28"/>
      <c r="D724" s="28"/>
      <c r="E724" s="81"/>
    </row>
    <row r="725">
      <c r="B725" s="28"/>
      <c r="C725" s="28"/>
      <c r="D725" s="28"/>
      <c r="E725" s="81"/>
    </row>
    <row r="726">
      <c r="B726" s="28"/>
      <c r="C726" s="28"/>
      <c r="D726" s="28"/>
      <c r="E726" s="81"/>
    </row>
    <row r="727">
      <c r="B727" s="28"/>
      <c r="C727" s="28"/>
      <c r="D727" s="28"/>
      <c r="E727" s="81"/>
    </row>
    <row r="728">
      <c r="B728" s="28"/>
      <c r="C728" s="28"/>
      <c r="D728" s="28"/>
      <c r="E728" s="81"/>
    </row>
    <row r="729">
      <c r="B729" s="28"/>
      <c r="C729" s="28"/>
      <c r="D729" s="28"/>
      <c r="E729" s="81"/>
    </row>
    <row r="730">
      <c r="B730" s="28"/>
      <c r="C730" s="28"/>
      <c r="D730" s="28"/>
      <c r="E730" s="81"/>
    </row>
    <row r="731">
      <c r="B731" s="28"/>
      <c r="C731" s="28"/>
      <c r="D731" s="28"/>
      <c r="E731" s="81"/>
    </row>
    <row r="732">
      <c r="B732" s="28"/>
      <c r="C732" s="28"/>
      <c r="D732" s="28"/>
      <c r="E732" s="81"/>
    </row>
    <row r="733">
      <c r="B733" s="28"/>
      <c r="C733" s="28"/>
      <c r="D733" s="28"/>
      <c r="E733" s="81"/>
    </row>
    <row r="734">
      <c r="B734" s="28"/>
      <c r="C734" s="28"/>
      <c r="D734" s="28"/>
      <c r="E734" s="81"/>
    </row>
    <row r="735">
      <c r="B735" s="28"/>
      <c r="C735" s="28"/>
      <c r="D735" s="28"/>
      <c r="E735" s="81"/>
    </row>
    <row r="736">
      <c r="B736" s="28"/>
      <c r="C736" s="28"/>
      <c r="D736" s="28"/>
      <c r="E736" s="81"/>
    </row>
    <row r="737">
      <c r="B737" s="28"/>
      <c r="C737" s="28"/>
      <c r="D737" s="28"/>
      <c r="E737" s="81"/>
    </row>
    <row r="738">
      <c r="B738" s="28"/>
      <c r="C738" s="28"/>
      <c r="D738" s="28"/>
      <c r="E738" s="81"/>
    </row>
    <row r="739">
      <c r="B739" s="28"/>
      <c r="C739" s="28"/>
      <c r="D739" s="28"/>
      <c r="E739" s="81"/>
    </row>
    <row r="740">
      <c r="B740" s="28"/>
      <c r="C740" s="28"/>
      <c r="D740" s="28"/>
      <c r="E740" s="81"/>
    </row>
    <row r="741">
      <c r="B741" s="28"/>
      <c r="C741" s="28"/>
      <c r="D741" s="28"/>
      <c r="E741" s="81"/>
    </row>
    <row r="742">
      <c r="B742" s="28"/>
      <c r="C742" s="28"/>
      <c r="D742" s="28"/>
      <c r="E742" s="81"/>
    </row>
    <row r="743">
      <c r="B743" s="28"/>
      <c r="C743" s="28"/>
      <c r="D743" s="28"/>
      <c r="E743" s="81"/>
    </row>
    <row r="744">
      <c r="B744" s="28"/>
      <c r="C744" s="28"/>
      <c r="D744" s="28"/>
      <c r="E744" s="81"/>
    </row>
    <row r="745">
      <c r="B745" s="28"/>
      <c r="C745" s="28"/>
      <c r="D745" s="28"/>
      <c r="E745" s="81"/>
    </row>
    <row r="746">
      <c r="B746" s="28"/>
      <c r="C746" s="28"/>
      <c r="D746" s="28"/>
      <c r="E746" s="81"/>
    </row>
    <row r="747">
      <c r="B747" s="28"/>
      <c r="C747" s="28"/>
      <c r="D747" s="28"/>
      <c r="E747" s="81"/>
    </row>
    <row r="748">
      <c r="B748" s="28"/>
      <c r="C748" s="28"/>
      <c r="D748" s="28"/>
      <c r="E748" s="81"/>
    </row>
    <row r="749">
      <c r="B749" s="28"/>
      <c r="C749" s="28"/>
      <c r="D749" s="28"/>
      <c r="E749" s="81"/>
    </row>
    <row r="750">
      <c r="B750" s="28"/>
      <c r="C750" s="28"/>
      <c r="D750" s="28"/>
      <c r="E750" s="81"/>
    </row>
    <row r="751">
      <c r="B751" s="28"/>
      <c r="C751" s="28"/>
      <c r="D751" s="28"/>
      <c r="E751" s="81"/>
    </row>
    <row r="752">
      <c r="B752" s="28"/>
      <c r="C752" s="28"/>
      <c r="D752" s="28"/>
      <c r="E752" s="81"/>
    </row>
    <row r="753">
      <c r="B753" s="28"/>
      <c r="C753" s="28"/>
      <c r="D753" s="28"/>
      <c r="E753" s="81"/>
    </row>
    <row r="754">
      <c r="B754" s="28"/>
      <c r="C754" s="28"/>
      <c r="D754" s="28"/>
      <c r="E754" s="81"/>
    </row>
    <row r="755">
      <c r="B755" s="28"/>
      <c r="C755" s="28"/>
      <c r="D755" s="28"/>
      <c r="E755" s="81"/>
    </row>
    <row r="756">
      <c r="B756" s="28"/>
      <c r="C756" s="28"/>
      <c r="D756" s="28"/>
      <c r="E756" s="81"/>
    </row>
    <row r="757">
      <c r="B757" s="28"/>
      <c r="C757" s="28"/>
      <c r="D757" s="28"/>
      <c r="E757" s="81"/>
    </row>
    <row r="758">
      <c r="B758" s="28"/>
      <c r="C758" s="28"/>
      <c r="D758" s="28"/>
      <c r="E758" s="81"/>
    </row>
    <row r="759">
      <c r="B759" s="28"/>
      <c r="C759" s="28"/>
      <c r="D759" s="28"/>
      <c r="E759" s="81"/>
    </row>
    <row r="760">
      <c r="B760" s="28"/>
      <c r="C760" s="28"/>
      <c r="D760" s="28"/>
      <c r="E760" s="81"/>
    </row>
    <row r="761">
      <c r="B761" s="28"/>
      <c r="C761" s="28"/>
      <c r="D761" s="28"/>
      <c r="E761" s="81"/>
    </row>
    <row r="762">
      <c r="B762" s="28"/>
      <c r="C762" s="28"/>
      <c r="D762" s="28"/>
      <c r="E762" s="81"/>
    </row>
    <row r="763">
      <c r="B763" s="28"/>
      <c r="C763" s="28"/>
      <c r="D763" s="28"/>
      <c r="E763" s="81"/>
    </row>
    <row r="764">
      <c r="B764" s="28"/>
      <c r="C764" s="28"/>
      <c r="D764" s="28"/>
      <c r="E764" s="81"/>
    </row>
    <row r="765">
      <c r="B765" s="28"/>
      <c r="C765" s="28"/>
      <c r="D765" s="28"/>
      <c r="E765" s="81"/>
    </row>
    <row r="766">
      <c r="B766" s="28"/>
      <c r="C766" s="28"/>
      <c r="D766" s="28"/>
      <c r="E766" s="81"/>
    </row>
    <row r="767">
      <c r="B767" s="28"/>
      <c r="C767" s="28"/>
      <c r="D767" s="28"/>
      <c r="E767" s="81"/>
    </row>
    <row r="768">
      <c r="B768" s="28"/>
      <c r="C768" s="28"/>
      <c r="D768" s="28"/>
      <c r="E768" s="81"/>
    </row>
    <row r="769">
      <c r="B769" s="28"/>
      <c r="C769" s="28"/>
      <c r="D769" s="28"/>
      <c r="E769" s="81"/>
    </row>
    <row r="770">
      <c r="B770" s="28"/>
      <c r="C770" s="28"/>
      <c r="D770" s="28"/>
      <c r="E770" s="81"/>
    </row>
    <row r="771">
      <c r="B771" s="28"/>
      <c r="C771" s="28"/>
      <c r="D771" s="28"/>
      <c r="E771" s="81"/>
    </row>
    <row r="772">
      <c r="B772" s="28"/>
      <c r="C772" s="28"/>
      <c r="D772" s="28"/>
      <c r="E772" s="81"/>
    </row>
    <row r="773">
      <c r="B773" s="28"/>
      <c r="C773" s="28"/>
      <c r="D773" s="28"/>
      <c r="E773" s="81"/>
    </row>
    <row r="774">
      <c r="B774" s="28"/>
      <c r="C774" s="28"/>
      <c r="D774" s="28"/>
      <c r="E774" s="81"/>
    </row>
    <row r="775">
      <c r="B775" s="28"/>
      <c r="C775" s="28"/>
      <c r="D775" s="28"/>
      <c r="E775" s="81"/>
    </row>
    <row r="776">
      <c r="B776" s="28"/>
      <c r="C776" s="28"/>
      <c r="D776" s="28"/>
      <c r="E776" s="81"/>
    </row>
    <row r="777">
      <c r="B777" s="28"/>
      <c r="C777" s="28"/>
      <c r="D777" s="28"/>
      <c r="E777" s="81"/>
    </row>
    <row r="778">
      <c r="B778" s="28"/>
      <c r="C778" s="28"/>
      <c r="D778" s="28"/>
      <c r="E778" s="81"/>
    </row>
    <row r="779">
      <c r="B779" s="28"/>
      <c r="C779" s="28"/>
      <c r="D779" s="28"/>
      <c r="E779" s="81"/>
    </row>
    <row r="780">
      <c r="B780" s="28"/>
      <c r="C780" s="28"/>
      <c r="D780" s="28"/>
      <c r="E780" s="81"/>
    </row>
    <row r="781">
      <c r="B781" s="28"/>
      <c r="C781" s="28"/>
      <c r="D781" s="28"/>
      <c r="E781" s="81"/>
    </row>
    <row r="782">
      <c r="B782" s="28"/>
      <c r="C782" s="28"/>
      <c r="D782" s="28"/>
      <c r="E782" s="81"/>
    </row>
    <row r="783">
      <c r="B783" s="28"/>
      <c r="C783" s="28"/>
      <c r="D783" s="28"/>
      <c r="E783" s="81"/>
    </row>
    <row r="784">
      <c r="B784" s="28"/>
      <c r="C784" s="28"/>
      <c r="D784" s="28"/>
      <c r="E784" s="81"/>
    </row>
    <row r="785">
      <c r="B785" s="28"/>
      <c r="C785" s="28"/>
      <c r="D785" s="28"/>
      <c r="E785" s="81"/>
    </row>
    <row r="786">
      <c r="B786" s="28"/>
      <c r="C786" s="28"/>
      <c r="D786" s="28"/>
      <c r="E786" s="81"/>
    </row>
    <row r="787">
      <c r="B787" s="28"/>
      <c r="C787" s="28"/>
      <c r="D787" s="28"/>
      <c r="E787" s="81"/>
    </row>
    <row r="788">
      <c r="B788" s="28"/>
      <c r="C788" s="28"/>
      <c r="D788" s="28"/>
      <c r="E788" s="81"/>
    </row>
    <row r="789">
      <c r="B789" s="28"/>
      <c r="C789" s="28"/>
      <c r="D789" s="28"/>
      <c r="E789" s="81"/>
    </row>
    <row r="790">
      <c r="B790" s="28"/>
      <c r="C790" s="28"/>
      <c r="D790" s="28"/>
      <c r="E790" s="81"/>
    </row>
    <row r="791">
      <c r="B791" s="28"/>
      <c r="C791" s="28"/>
      <c r="D791" s="28"/>
      <c r="E791" s="81"/>
    </row>
    <row r="792">
      <c r="B792" s="28"/>
      <c r="C792" s="28"/>
      <c r="D792" s="28"/>
      <c r="E792" s="81"/>
    </row>
    <row r="793">
      <c r="B793" s="28"/>
      <c r="C793" s="28"/>
      <c r="D793" s="28"/>
      <c r="E793" s="81"/>
    </row>
    <row r="794">
      <c r="B794" s="28"/>
      <c r="C794" s="28"/>
      <c r="D794" s="28"/>
      <c r="E794" s="81"/>
    </row>
    <row r="795">
      <c r="B795" s="28"/>
      <c r="C795" s="28"/>
      <c r="D795" s="28"/>
      <c r="E795" s="81"/>
    </row>
    <row r="796">
      <c r="B796" s="28"/>
      <c r="C796" s="28"/>
      <c r="D796" s="28"/>
      <c r="E796" s="81"/>
    </row>
    <row r="797">
      <c r="B797" s="28"/>
      <c r="C797" s="28"/>
      <c r="D797" s="28"/>
      <c r="E797" s="81"/>
    </row>
    <row r="798">
      <c r="B798" s="28"/>
      <c r="C798" s="28"/>
      <c r="D798" s="28"/>
      <c r="E798" s="81"/>
    </row>
    <row r="799">
      <c r="B799" s="28"/>
      <c r="C799" s="28"/>
      <c r="D799" s="28"/>
      <c r="E799" s="81"/>
    </row>
    <row r="800">
      <c r="B800" s="28"/>
      <c r="C800" s="28"/>
      <c r="D800" s="28"/>
      <c r="E800" s="81"/>
    </row>
    <row r="801">
      <c r="B801" s="28"/>
      <c r="C801" s="28"/>
      <c r="D801" s="28"/>
      <c r="E801" s="81"/>
    </row>
    <row r="802">
      <c r="B802" s="28"/>
      <c r="C802" s="28"/>
      <c r="D802" s="28"/>
      <c r="E802" s="81"/>
    </row>
    <row r="803">
      <c r="B803" s="28"/>
      <c r="C803" s="28"/>
      <c r="D803" s="28"/>
      <c r="E803" s="81"/>
    </row>
    <row r="804">
      <c r="B804" s="28"/>
      <c r="C804" s="28"/>
      <c r="D804" s="28"/>
      <c r="E804" s="81"/>
    </row>
    <row r="805">
      <c r="B805" s="28"/>
      <c r="C805" s="28"/>
      <c r="D805" s="28"/>
      <c r="E805" s="81"/>
    </row>
    <row r="806">
      <c r="B806" s="28"/>
      <c r="C806" s="28"/>
      <c r="D806" s="28"/>
      <c r="E806" s="81"/>
    </row>
    <row r="807">
      <c r="B807" s="28"/>
      <c r="C807" s="28"/>
      <c r="D807" s="28"/>
      <c r="E807" s="81"/>
    </row>
    <row r="808">
      <c r="B808" s="28"/>
      <c r="C808" s="28"/>
      <c r="D808" s="28"/>
      <c r="E808" s="81"/>
    </row>
    <row r="809">
      <c r="B809" s="28"/>
      <c r="C809" s="28"/>
      <c r="D809" s="28"/>
      <c r="E809" s="81"/>
    </row>
    <row r="810">
      <c r="B810" s="28"/>
      <c r="C810" s="28"/>
      <c r="D810" s="28"/>
      <c r="E810" s="81"/>
    </row>
    <row r="811">
      <c r="B811" s="28"/>
      <c r="C811" s="28"/>
      <c r="D811" s="28"/>
      <c r="E811" s="81"/>
    </row>
    <row r="812">
      <c r="B812" s="28"/>
      <c r="C812" s="28"/>
      <c r="D812" s="28"/>
      <c r="E812" s="81"/>
    </row>
    <row r="813">
      <c r="B813" s="28"/>
      <c r="C813" s="28"/>
      <c r="D813" s="28"/>
      <c r="E813" s="81"/>
    </row>
    <row r="814">
      <c r="B814" s="28"/>
      <c r="C814" s="28"/>
      <c r="D814" s="28"/>
      <c r="E814" s="81"/>
    </row>
    <row r="815">
      <c r="B815" s="28"/>
      <c r="C815" s="28"/>
      <c r="D815" s="28"/>
      <c r="E815" s="81"/>
    </row>
    <row r="816">
      <c r="B816" s="28"/>
      <c r="C816" s="28"/>
      <c r="D816" s="28"/>
      <c r="E816" s="81"/>
    </row>
    <row r="817">
      <c r="B817" s="28"/>
      <c r="C817" s="28"/>
      <c r="D817" s="28"/>
      <c r="E817" s="81"/>
    </row>
    <row r="818">
      <c r="B818" s="28"/>
      <c r="C818" s="28"/>
      <c r="D818" s="28"/>
      <c r="E818" s="81"/>
    </row>
    <row r="819">
      <c r="B819" s="28"/>
      <c r="C819" s="28"/>
      <c r="D819" s="28"/>
      <c r="E819" s="81"/>
    </row>
    <row r="820">
      <c r="B820" s="28"/>
      <c r="C820" s="28"/>
      <c r="D820" s="28"/>
      <c r="E820" s="81"/>
    </row>
    <row r="821">
      <c r="B821" s="28"/>
      <c r="C821" s="28"/>
      <c r="D821" s="28"/>
      <c r="E821" s="81"/>
    </row>
    <row r="822">
      <c r="B822" s="28"/>
      <c r="C822" s="28"/>
      <c r="D822" s="28"/>
      <c r="E822" s="81"/>
    </row>
    <row r="823">
      <c r="B823" s="28"/>
      <c r="C823" s="28"/>
      <c r="D823" s="28"/>
      <c r="E823" s="81"/>
    </row>
    <row r="824">
      <c r="B824" s="28"/>
      <c r="C824" s="28"/>
      <c r="D824" s="28"/>
      <c r="E824" s="81"/>
    </row>
    <row r="825">
      <c r="B825" s="28"/>
      <c r="C825" s="28"/>
      <c r="D825" s="28"/>
      <c r="E825" s="81"/>
    </row>
    <row r="826">
      <c r="B826" s="28"/>
      <c r="C826" s="28"/>
      <c r="D826" s="28"/>
      <c r="E826" s="81"/>
    </row>
    <row r="827">
      <c r="B827" s="28"/>
      <c r="C827" s="28"/>
      <c r="D827" s="28"/>
      <c r="E827" s="81"/>
    </row>
    <row r="828">
      <c r="B828" s="28"/>
      <c r="C828" s="28"/>
      <c r="D828" s="28"/>
      <c r="E828" s="81"/>
    </row>
    <row r="829">
      <c r="B829" s="28"/>
      <c r="C829" s="28"/>
      <c r="D829" s="28"/>
      <c r="E829" s="81"/>
    </row>
    <row r="830">
      <c r="B830" s="28"/>
      <c r="C830" s="28"/>
      <c r="D830" s="28"/>
      <c r="E830" s="81"/>
    </row>
    <row r="831">
      <c r="B831" s="28"/>
      <c r="C831" s="28"/>
      <c r="D831" s="28"/>
      <c r="E831" s="81"/>
    </row>
    <row r="832">
      <c r="B832" s="28"/>
      <c r="C832" s="28"/>
      <c r="D832" s="28"/>
      <c r="E832" s="81"/>
    </row>
    <row r="833">
      <c r="B833" s="28"/>
      <c r="C833" s="28"/>
      <c r="D833" s="28"/>
      <c r="E833" s="81"/>
    </row>
    <row r="834">
      <c r="B834" s="28"/>
      <c r="C834" s="28"/>
      <c r="D834" s="28"/>
      <c r="E834" s="81"/>
    </row>
    <row r="835">
      <c r="B835" s="28"/>
      <c r="C835" s="28"/>
      <c r="D835" s="28"/>
      <c r="E835" s="81"/>
    </row>
    <row r="836">
      <c r="B836" s="28"/>
      <c r="C836" s="28"/>
      <c r="D836" s="28"/>
      <c r="E836" s="81"/>
    </row>
    <row r="837">
      <c r="B837" s="28"/>
      <c r="C837" s="28"/>
      <c r="D837" s="28"/>
      <c r="E837" s="81"/>
    </row>
    <row r="838">
      <c r="B838" s="28"/>
      <c r="C838" s="28"/>
      <c r="D838" s="28"/>
      <c r="E838" s="81"/>
    </row>
    <row r="839">
      <c r="B839" s="28"/>
      <c r="C839" s="28"/>
      <c r="D839" s="28"/>
      <c r="E839" s="81"/>
    </row>
    <row r="840">
      <c r="B840" s="28"/>
      <c r="C840" s="28"/>
      <c r="D840" s="28"/>
      <c r="E840" s="81"/>
    </row>
    <row r="841">
      <c r="B841" s="28"/>
      <c r="C841" s="28"/>
      <c r="D841" s="28"/>
      <c r="E841" s="81"/>
    </row>
    <row r="842">
      <c r="B842" s="28"/>
      <c r="C842" s="28"/>
      <c r="D842" s="28"/>
      <c r="E842" s="81"/>
    </row>
    <row r="843">
      <c r="B843" s="28"/>
      <c r="C843" s="28"/>
      <c r="D843" s="28"/>
      <c r="E843" s="81"/>
    </row>
    <row r="844">
      <c r="B844" s="28"/>
      <c r="C844" s="28"/>
      <c r="D844" s="28"/>
      <c r="E844" s="81"/>
    </row>
    <row r="845">
      <c r="B845" s="28"/>
      <c r="C845" s="28"/>
      <c r="D845" s="28"/>
      <c r="E845" s="81"/>
    </row>
    <row r="846">
      <c r="B846" s="28"/>
      <c r="C846" s="28"/>
      <c r="D846" s="28"/>
      <c r="E846" s="81"/>
    </row>
    <row r="847">
      <c r="B847" s="28"/>
      <c r="C847" s="28"/>
      <c r="D847" s="28"/>
      <c r="E847" s="81"/>
    </row>
    <row r="848">
      <c r="B848" s="28"/>
      <c r="C848" s="28"/>
      <c r="D848" s="28"/>
      <c r="E848" s="81"/>
    </row>
    <row r="849">
      <c r="B849" s="28"/>
      <c r="C849" s="28"/>
      <c r="D849" s="28"/>
      <c r="E849" s="81"/>
    </row>
    <row r="850">
      <c r="B850" s="28"/>
      <c r="C850" s="28"/>
      <c r="D850" s="28"/>
      <c r="E850" s="81"/>
    </row>
    <row r="851">
      <c r="B851" s="28"/>
      <c r="C851" s="28"/>
      <c r="D851" s="28"/>
      <c r="E851" s="81"/>
    </row>
    <row r="852">
      <c r="B852" s="28"/>
      <c r="C852" s="28"/>
      <c r="D852" s="28"/>
      <c r="E852" s="81"/>
    </row>
    <row r="853">
      <c r="B853" s="28"/>
      <c r="C853" s="28"/>
      <c r="D853" s="28"/>
      <c r="E853" s="81"/>
    </row>
    <row r="854">
      <c r="B854" s="28"/>
      <c r="C854" s="28"/>
      <c r="D854" s="28"/>
      <c r="E854" s="81"/>
    </row>
    <row r="855">
      <c r="B855" s="28"/>
      <c r="C855" s="28"/>
      <c r="D855" s="28"/>
      <c r="E855" s="81"/>
    </row>
    <row r="856">
      <c r="B856" s="28"/>
      <c r="C856" s="28"/>
      <c r="D856" s="28"/>
      <c r="E856" s="81"/>
    </row>
    <row r="857">
      <c r="B857" s="28"/>
      <c r="C857" s="28"/>
      <c r="D857" s="28"/>
      <c r="E857" s="81"/>
    </row>
    <row r="858">
      <c r="B858" s="28"/>
      <c r="C858" s="28"/>
      <c r="D858" s="28"/>
      <c r="E858" s="81"/>
    </row>
    <row r="859">
      <c r="B859" s="28"/>
      <c r="C859" s="28"/>
      <c r="D859" s="28"/>
      <c r="E859" s="81"/>
    </row>
    <row r="860">
      <c r="B860" s="28"/>
      <c r="C860" s="28"/>
      <c r="D860" s="28"/>
      <c r="E860" s="81"/>
    </row>
    <row r="861">
      <c r="B861" s="28"/>
      <c r="C861" s="28"/>
      <c r="D861" s="28"/>
      <c r="E861" s="81"/>
    </row>
    <row r="862">
      <c r="B862" s="28"/>
      <c r="C862" s="28"/>
      <c r="D862" s="28"/>
      <c r="E862" s="81"/>
    </row>
    <row r="863">
      <c r="B863" s="28"/>
      <c r="C863" s="28"/>
      <c r="D863" s="28"/>
      <c r="E863" s="81"/>
    </row>
    <row r="864">
      <c r="B864" s="28"/>
      <c r="C864" s="28"/>
      <c r="D864" s="28"/>
      <c r="E864" s="81"/>
    </row>
    <row r="865">
      <c r="B865" s="28"/>
      <c r="C865" s="28"/>
      <c r="D865" s="28"/>
      <c r="E865" s="81"/>
    </row>
    <row r="866">
      <c r="B866" s="28"/>
      <c r="C866" s="28"/>
      <c r="D866" s="28"/>
      <c r="E866" s="81"/>
    </row>
    <row r="867">
      <c r="B867" s="28"/>
      <c r="C867" s="28"/>
      <c r="D867" s="28"/>
      <c r="E867" s="81"/>
    </row>
    <row r="868">
      <c r="B868" s="28"/>
      <c r="C868" s="28"/>
      <c r="D868" s="28"/>
      <c r="E868" s="81"/>
    </row>
    <row r="869">
      <c r="B869" s="28"/>
      <c r="C869" s="28"/>
      <c r="D869" s="28"/>
      <c r="E869" s="81"/>
    </row>
    <row r="870">
      <c r="B870" s="28"/>
      <c r="C870" s="28"/>
      <c r="D870" s="28"/>
      <c r="E870" s="81"/>
    </row>
    <row r="871">
      <c r="B871" s="28"/>
      <c r="C871" s="28"/>
      <c r="D871" s="28"/>
      <c r="E871" s="81"/>
    </row>
    <row r="872">
      <c r="B872" s="28"/>
      <c r="C872" s="28"/>
      <c r="D872" s="28"/>
      <c r="E872" s="81"/>
    </row>
    <row r="873">
      <c r="B873" s="28"/>
      <c r="C873" s="28"/>
      <c r="D873" s="28"/>
      <c r="E873" s="81"/>
    </row>
    <row r="874">
      <c r="B874" s="28"/>
      <c r="C874" s="28"/>
      <c r="D874" s="28"/>
      <c r="E874" s="81"/>
    </row>
    <row r="875">
      <c r="B875" s="28"/>
      <c r="C875" s="28"/>
      <c r="D875" s="28"/>
      <c r="E875" s="81"/>
    </row>
    <row r="876">
      <c r="B876" s="28"/>
      <c r="C876" s="28"/>
      <c r="D876" s="28"/>
      <c r="E876" s="81"/>
    </row>
    <row r="877">
      <c r="B877" s="28"/>
      <c r="C877" s="28"/>
      <c r="D877" s="28"/>
      <c r="E877" s="81"/>
    </row>
    <row r="878">
      <c r="B878" s="28"/>
      <c r="C878" s="28"/>
      <c r="D878" s="28"/>
      <c r="E878" s="81"/>
    </row>
    <row r="879">
      <c r="B879" s="28"/>
      <c r="C879" s="28"/>
      <c r="D879" s="28"/>
      <c r="E879" s="81"/>
    </row>
    <row r="880">
      <c r="B880" s="28"/>
      <c r="C880" s="28"/>
      <c r="D880" s="28"/>
      <c r="E880" s="81"/>
    </row>
    <row r="881">
      <c r="B881" s="28"/>
      <c r="C881" s="28"/>
      <c r="D881" s="28"/>
      <c r="E881" s="81"/>
    </row>
    <row r="882">
      <c r="B882" s="28"/>
      <c r="C882" s="28"/>
      <c r="D882" s="28"/>
      <c r="E882" s="81"/>
    </row>
    <row r="883">
      <c r="B883" s="28"/>
      <c r="C883" s="28"/>
      <c r="D883" s="28"/>
      <c r="E883" s="81"/>
    </row>
    <row r="884">
      <c r="B884" s="28"/>
      <c r="C884" s="28"/>
      <c r="D884" s="28"/>
      <c r="E884" s="81"/>
    </row>
    <row r="885">
      <c r="B885" s="28"/>
      <c r="C885" s="28"/>
      <c r="D885" s="28"/>
      <c r="E885" s="81"/>
    </row>
    <row r="886">
      <c r="B886" s="28"/>
      <c r="C886" s="28"/>
      <c r="D886" s="28"/>
      <c r="E886" s="81"/>
    </row>
    <row r="887">
      <c r="B887" s="28"/>
      <c r="C887" s="28"/>
      <c r="D887" s="28"/>
      <c r="E887" s="81"/>
    </row>
    <row r="888">
      <c r="B888" s="28"/>
      <c r="C888" s="28"/>
      <c r="D888" s="28"/>
      <c r="E888" s="81"/>
    </row>
    <row r="889">
      <c r="B889" s="28"/>
      <c r="C889" s="28"/>
      <c r="D889" s="28"/>
      <c r="E889" s="81"/>
    </row>
    <row r="890">
      <c r="B890" s="28"/>
      <c r="C890" s="28"/>
      <c r="D890" s="28"/>
      <c r="E890" s="81"/>
    </row>
    <row r="891">
      <c r="B891" s="28"/>
      <c r="C891" s="28"/>
      <c r="D891" s="28"/>
      <c r="E891" s="81"/>
    </row>
    <row r="892">
      <c r="B892" s="28"/>
      <c r="C892" s="28"/>
      <c r="D892" s="28"/>
      <c r="E892" s="81"/>
    </row>
    <row r="893">
      <c r="B893" s="28"/>
      <c r="C893" s="28"/>
      <c r="D893" s="28"/>
      <c r="E893" s="81"/>
    </row>
    <row r="894">
      <c r="B894" s="28"/>
      <c r="C894" s="28"/>
      <c r="D894" s="28"/>
      <c r="E894" s="81"/>
    </row>
    <row r="895">
      <c r="B895" s="28"/>
      <c r="C895" s="28"/>
      <c r="D895" s="28"/>
      <c r="E895" s="81"/>
    </row>
    <row r="896">
      <c r="B896" s="28"/>
      <c r="C896" s="28"/>
      <c r="D896" s="28"/>
      <c r="E896" s="81"/>
    </row>
    <row r="897">
      <c r="B897" s="28"/>
      <c r="C897" s="28"/>
      <c r="D897" s="28"/>
      <c r="E897" s="81"/>
    </row>
    <row r="898">
      <c r="B898" s="28"/>
      <c r="C898" s="28"/>
      <c r="D898" s="28"/>
      <c r="E898" s="81"/>
    </row>
    <row r="899">
      <c r="B899" s="28"/>
      <c r="C899" s="28"/>
      <c r="D899" s="28"/>
      <c r="E899" s="81"/>
    </row>
    <row r="900">
      <c r="B900" s="28"/>
      <c r="C900" s="28"/>
      <c r="D900" s="28"/>
      <c r="E900" s="81"/>
    </row>
    <row r="901">
      <c r="B901" s="28"/>
      <c r="C901" s="28"/>
      <c r="D901" s="28"/>
      <c r="E901" s="81"/>
    </row>
    <row r="902">
      <c r="B902" s="28"/>
      <c r="C902" s="28"/>
      <c r="D902" s="28"/>
      <c r="E902" s="81"/>
    </row>
    <row r="903">
      <c r="B903" s="28"/>
      <c r="C903" s="28"/>
      <c r="D903" s="28"/>
      <c r="E903" s="81"/>
    </row>
    <row r="904">
      <c r="B904" s="28"/>
      <c r="C904" s="28"/>
      <c r="D904" s="28"/>
      <c r="E904" s="81"/>
    </row>
    <row r="905">
      <c r="B905" s="28"/>
      <c r="C905" s="28"/>
      <c r="D905" s="28"/>
      <c r="E905" s="81"/>
    </row>
    <row r="906">
      <c r="B906" s="28"/>
      <c r="C906" s="28"/>
      <c r="D906" s="28"/>
      <c r="E906" s="81"/>
    </row>
    <row r="907">
      <c r="B907" s="28"/>
      <c r="C907" s="28"/>
      <c r="D907" s="28"/>
      <c r="E907" s="81"/>
    </row>
    <row r="908">
      <c r="B908" s="28"/>
      <c r="C908" s="28"/>
      <c r="D908" s="28"/>
      <c r="E908" s="81"/>
    </row>
    <row r="909">
      <c r="B909" s="28"/>
      <c r="C909" s="28"/>
      <c r="D909" s="28"/>
      <c r="E909" s="81"/>
    </row>
    <row r="910">
      <c r="B910" s="28"/>
      <c r="C910" s="28"/>
      <c r="D910" s="28"/>
      <c r="E910" s="81"/>
    </row>
    <row r="911">
      <c r="B911" s="28"/>
      <c r="C911" s="28"/>
      <c r="D911" s="28"/>
      <c r="E911" s="81"/>
    </row>
    <row r="912">
      <c r="B912" s="28"/>
      <c r="C912" s="28"/>
      <c r="D912" s="28"/>
      <c r="E912" s="81"/>
    </row>
    <row r="913">
      <c r="B913" s="28"/>
      <c r="C913" s="28"/>
      <c r="D913" s="28"/>
      <c r="E913" s="81"/>
    </row>
    <row r="914">
      <c r="B914" s="28"/>
      <c r="C914" s="28"/>
      <c r="D914" s="28"/>
      <c r="E914" s="81"/>
    </row>
    <row r="915">
      <c r="B915" s="28"/>
      <c r="C915" s="28"/>
      <c r="D915" s="28"/>
      <c r="E915" s="81"/>
    </row>
    <row r="916">
      <c r="B916" s="28"/>
      <c r="C916" s="28"/>
      <c r="D916" s="28"/>
      <c r="E916" s="81"/>
    </row>
    <row r="917">
      <c r="B917" s="28"/>
      <c r="C917" s="28"/>
      <c r="D917" s="28"/>
      <c r="E917" s="81"/>
    </row>
    <row r="918">
      <c r="B918" s="28"/>
      <c r="C918" s="28"/>
      <c r="D918" s="28"/>
      <c r="E918" s="81"/>
    </row>
    <row r="919">
      <c r="B919" s="28"/>
      <c r="C919" s="28"/>
      <c r="D919" s="28"/>
      <c r="E919" s="81"/>
    </row>
    <row r="920">
      <c r="B920" s="28"/>
      <c r="C920" s="28"/>
      <c r="D920" s="28"/>
      <c r="E920" s="81"/>
    </row>
    <row r="921">
      <c r="B921" s="28"/>
      <c r="C921" s="28"/>
      <c r="D921" s="28"/>
      <c r="E921" s="81"/>
    </row>
    <row r="922">
      <c r="B922" s="28"/>
      <c r="C922" s="28"/>
      <c r="D922" s="28"/>
      <c r="E922" s="81"/>
    </row>
    <row r="923">
      <c r="B923" s="28"/>
      <c r="C923" s="28"/>
      <c r="D923" s="28"/>
      <c r="E923" s="81"/>
    </row>
    <row r="924">
      <c r="B924" s="28"/>
      <c r="C924" s="28"/>
      <c r="D924" s="28"/>
      <c r="E924" s="81"/>
    </row>
    <row r="925">
      <c r="B925" s="28"/>
      <c r="C925" s="28"/>
      <c r="D925" s="28"/>
      <c r="E925" s="81"/>
    </row>
    <row r="926">
      <c r="B926" s="28"/>
      <c r="C926" s="28"/>
      <c r="D926" s="28"/>
      <c r="E926" s="81"/>
    </row>
    <row r="927">
      <c r="B927" s="28"/>
      <c r="C927" s="28"/>
      <c r="D927" s="28"/>
      <c r="E927" s="81"/>
    </row>
    <row r="928">
      <c r="B928" s="28"/>
      <c r="C928" s="28"/>
      <c r="D928" s="28"/>
      <c r="E928" s="81"/>
    </row>
    <row r="929">
      <c r="B929" s="28"/>
      <c r="C929" s="28"/>
      <c r="D929" s="28"/>
      <c r="E929" s="81"/>
    </row>
    <row r="930">
      <c r="B930" s="28"/>
      <c r="C930" s="28"/>
      <c r="D930" s="28"/>
      <c r="E930" s="81"/>
    </row>
    <row r="931">
      <c r="B931" s="28"/>
      <c r="C931" s="28"/>
      <c r="D931" s="28"/>
      <c r="E931" s="81"/>
    </row>
    <row r="932">
      <c r="B932" s="28"/>
      <c r="C932" s="28"/>
      <c r="D932" s="28"/>
      <c r="E932" s="81"/>
    </row>
    <row r="933">
      <c r="B933" s="28"/>
      <c r="C933" s="28"/>
      <c r="D933" s="28"/>
      <c r="E933" s="81"/>
    </row>
    <row r="934">
      <c r="B934" s="28"/>
      <c r="C934" s="28"/>
      <c r="D934" s="28"/>
      <c r="E934" s="81"/>
    </row>
    <row r="935">
      <c r="B935" s="28"/>
      <c r="C935" s="28"/>
      <c r="D935" s="28"/>
      <c r="E935" s="81"/>
    </row>
    <row r="936">
      <c r="B936" s="28"/>
      <c r="C936" s="28"/>
      <c r="D936" s="28"/>
      <c r="E936" s="81"/>
    </row>
    <row r="937">
      <c r="B937" s="28"/>
      <c r="C937" s="28"/>
      <c r="D937" s="28"/>
      <c r="E937" s="81"/>
    </row>
    <row r="938">
      <c r="B938" s="28"/>
      <c r="C938" s="28"/>
      <c r="D938" s="28"/>
      <c r="E938" s="81"/>
    </row>
    <row r="939">
      <c r="B939" s="28"/>
      <c r="C939" s="28"/>
      <c r="D939" s="28"/>
      <c r="E939" s="81"/>
    </row>
    <row r="940">
      <c r="B940" s="28"/>
      <c r="C940" s="28"/>
      <c r="D940" s="28"/>
      <c r="E940" s="81"/>
    </row>
    <row r="941">
      <c r="B941" s="28"/>
      <c r="C941" s="28"/>
      <c r="D941" s="28"/>
      <c r="E941" s="81"/>
    </row>
    <row r="942">
      <c r="B942" s="28"/>
      <c r="C942" s="28"/>
      <c r="D942" s="28"/>
      <c r="E942" s="81"/>
    </row>
    <row r="943">
      <c r="B943" s="28"/>
      <c r="C943" s="28"/>
      <c r="D943" s="28"/>
      <c r="E943" s="81"/>
    </row>
    <row r="944">
      <c r="B944" s="28"/>
      <c r="C944" s="28"/>
      <c r="D944" s="28"/>
      <c r="E944" s="81"/>
    </row>
    <row r="945">
      <c r="B945" s="28"/>
      <c r="C945" s="28"/>
      <c r="D945" s="28"/>
      <c r="E945" s="81"/>
    </row>
    <row r="946">
      <c r="B946" s="28"/>
      <c r="C946" s="28"/>
      <c r="D946" s="28"/>
      <c r="E946" s="81"/>
    </row>
    <row r="947">
      <c r="B947" s="28"/>
      <c r="C947" s="28"/>
      <c r="D947" s="28"/>
      <c r="E947" s="81"/>
    </row>
    <row r="948">
      <c r="B948" s="28"/>
      <c r="C948" s="28"/>
      <c r="D948" s="28"/>
      <c r="E948" s="81"/>
    </row>
    <row r="949">
      <c r="B949" s="28"/>
      <c r="C949" s="28"/>
      <c r="D949" s="28"/>
      <c r="E949" s="81"/>
    </row>
    <row r="950">
      <c r="B950" s="28"/>
      <c r="C950" s="28"/>
      <c r="D950" s="28"/>
      <c r="E950" s="81"/>
    </row>
    <row r="951">
      <c r="B951" s="28"/>
      <c r="C951" s="28"/>
      <c r="D951" s="28"/>
      <c r="E951" s="81"/>
    </row>
    <row r="952">
      <c r="B952" s="28"/>
      <c r="C952" s="28"/>
      <c r="D952" s="28"/>
      <c r="E952" s="81"/>
    </row>
    <row r="953">
      <c r="B953" s="28"/>
      <c r="C953" s="28"/>
      <c r="D953" s="28"/>
      <c r="E953" s="81"/>
    </row>
    <row r="954">
      <c r="B954" s="28"/>
      <c r="C954" s="28"/>
      <c r="D954" s="28"/>
      <c r="E954" s="81"/>
    </row>
    <row r="955">
      <c r="B955" s="28"/>
      <c r="C955" s="28"/>
      <c r="D955" s="28"/>
      <c r="E955" s="81"/>
    </row>
    <row r="956">
      <c r="B956" s="28"/>
      <c r="C956" s="28"/>
      <c r="D956" s="28"/>
      <c r="E956" s="81"/>
    </row>
    <row r="957">
      <c r="B957" s="28"/>
      <c r="C957" s="28"/>
      <c r="D957" s="28"/>
      <c r="E957" s="81"/>
    </row>
    <row r="958">
      <c r="B958" s="28"/>
      <c r="C958" s="28"/>
      <c r="D958" s="28"/>
      <c r="E958" s="81"/>
    </row>
    <row r="959">
      <c r="B959" s="28"/>
      <c r="C959" s="28"/>
      <c r="D959" s="28"/>
      <c r="E959" s="81"/>
    </row>
    <row r="960">
      <c r="B960" s="28"/>
      <c r="C960" s="28"/>
      <c r="D960" s="28"/>
      <c r="E960" s="81"/>
    </row>
    <row r="961">
      <c r="B961" s="28"/>
      <c r="C961" s="28"/>
      <c r="D961" s="28"/>
      <c r="E961" s="81"/>
    </row>
    <row r="962">
      <c r="B962" s="28"/>
      <c r="C962" s="28"/>
      <c r="D962" s="28"/>
      <c r="E962" s="81"/>
    </row>
    <row r="963">
      <c r="B963" s="28"/>
      <c r="C963" s="28"/>
      <c r="D963" s="28"/>
      <c r="E963" s="81"/>
    </row>
    <row r="964">
      <c r="B964" s="28"/>
      <c r="C964" s="28"/>
      <c r="D964" s="28"/>
      <c r="E964" s="81"/>
    </row>
    <row r="965">
      <c r="B965" s="28"/>
      <c r="C965" s="28"/>
      <c r="D965" s="28"/>
      <c r="E965" s="81"/>
    </row>
    <row r="966">
      <c r="B966" s="28"/>
      <c r="C966" s="28"/>
      <c r="D966" s="28"/>
      <c r="E966" s="81"/>
    </row>
    <row r="967">
      <c r="B967" s="28"/>
      <c r="C967" s="28"/>
      <c r="D967" s="28"/>
      <c r="E967" s="81"/>
    </row>
    <row r="968">
      <c r="B968" s="28"/>
      <c r="C968" s="28"/>
      <c r="D968" s="28"/>
      <c r="E968" s="81"/>
    </row>
    <row r="969">
      <c r="B969" s="28"/>
      <c r="C969" s="28"/>
      <c r="D969" s="28"/>
      <c r="E969" s="81"/>
    </row>
    <row r="970">
      <c r="B970" s="28"/>
      <c r="C970" s="28"/>
      <c r="D970" s="28"/>
      <c r="E970" s="81"/>
    </row>
    <row r="971">
      <c r="B971" s="28"/>
      <c r="C971" s="28"/>
      <c r="D971" s="28"/>
      <c r="E971" s="81"/>
    </row>
    <row r="972">
      <c r="B972" s="28"/>
      <c r="C972" s="28"/>
      <c r="D972" s="28"/>
      <c r="E972" s="81"/>
    </row>
    <row r="973">
      <c r="B973" s="28"/>
      <c r="C973" s="28"/>
      <c r="D973" s="28"/>
      <c r="E973" s="81"/>
    </row>
    <row r="974">
      <c r="B974" s="28"/>
      <c r="C974" s="28"/>
      <c r="D974" s="28"/>
      <c r="E974" s="81"/>
    </row>
    <row r="975">
      <c r="B975" s="28"/>
      <c r="C975" s="28"/>
      <c r="D975" s="28"/>
      <c r="E975" s="81"/>
    </row>
    <row r="976">
      <c r="B976" s="28"/>
      <c r="C976" s="28"/>
      <c r="D976" s="28"/>
      <c r="E976" s="81"/>
    </row>
    <row r="977">
      <c r="B977" s="28"/>
      <c r="C977" s="28"/>
      <c r="D977" s="28"/>
      <c r="E977" s="81"/>
    </row>
    <row r="978">
      <c r="B978" s="28"/>
      <c r="C978" s="28"/>
      <c r="D978" s="28"/>
      <c r="E978" s="81"/>
    </row>
    <row r="979">
      <c r="B979" s="28"/>
      <c r="C979" s="28"/>
      <c r="D979" s="28"/>
      <c r="E979" s="81"/>
    </row>
    <row r="980">
      <c r="B980" s="28"/>
      <c r="C980" s="28"/>
      <c r="D980" s="28"/>
      <c r="E980" s="81"/>
    </row>
    <row r="981">
      <c r="B981" s="28"/>
      <c r="C981" s="28"/>
      <c r="D981" s="28"/>
      <c r="E981" s="81"/>
    </row>
    <row r="982">
      <c r="B982" s="28"/>
      <c r="C982" s="28"/>
      <c r="D982" s="28"/>
      <c r="E982" s="81"/>
    </row>
    <row r="983">
      <c r="B983" s="28"/>
      <c r="C983" s="28"/>
      <c r="D983" s="28"/>
      <c r="E983" s="81"/>
    </row>
    <row r="984">
      <c r="B984" s="28"/>
      <c r="C984" s="28"/>
      <c r="D984" s="28"/>
      <c r="E984" s="81"/>
    </row>
    <row r="985">
      <c r="B985" s="28"/>
      <c r="C985" s="28"/>
      <c r="D985" s="28"/>
      <c r="E985" s="81"/>
    </row>
    <row r="986">
      <c r="B986" s="28"/>
      <c r="C986" s="28"/>
      <c r="D986" s="28"/>
      <c r="E986" s="81"/>
    </row>
    <row r="987">
      <c r="B987" s="28"/>
      <c r="C987" s="28"/>
      <c r="D987" s="28"/>
      <c r="E987" s="81"/>
    </row>
    <row r="988">
      <c r="B988" s="28"/>
      <c r="C988" s="28"/>
      <c r="D988" s="28"/>
      <c r="E988" s="81"/>
    </row>
    <row r="989">
      <c r="B989" s="28"/>
      <c r="C989" s="28"/>
      <c r="D989" s="28"/>
      <c r="E989" s="81"/>
    </row>
    <row r="990">
      <c r="B990" s="28"/>
      <c r="C990" s="28"/>
      <c r="D990" s="28"/>
      <c r="E990" s="81"/>
    </row>
    <row r="991">
      <c r="B991" s="28"/>
      <c r="C991" s="28"/>
      <c r="D991" s="28"/>
      <c r="E991" s="81"/>
    </row>
    <row r="992">
      <c r="B992" s="28"/>
      <c r="C992" s="28"/>
      <c r="D992" s="28"/>
      <c r="E992" s="81"/>
    </row>
    <row r="993">
      <c r="B993" s="28"/>
      <c r="C993" s="28"/>
      <c r="D993" s="28"/>
      <c r="E993" s="81"/>
    </row>
    <row r="994">
      <c r="B994" s="28"/>
      <c r="C994" s="28"/>
      <c r="D994" s="28"/>
      <c r="E994" s="81"/>
    </row>
    <row r="995">
      <c r="B995" s="28"/>
      <c r="C995" s="28"/>
      <c r="D995" s="28"/>
      <c r="E995" s="81"/>
    </row>
    <row r="996">
      <c r="B996" s="28"/>
      <c r="C996" s="28"/>
      <c r="D996" s="28"/>
      <c r="E996" s="81"/>
    </row>
    <row r="997">
      <c r="B997" s="28"/>
      <c r="C997" s="28"/>
      <c r="D997" s="28"/>
      <c r="E997" s="81"/>
    </row>
    <row r="998">
      <c r="B998" s="28"/>
      <c r="C998" s="28"/>
      <c r="D998" s="28"/>
      <c r="E998" s="81"/>
    </row>
    <row r="999">
      <c r="B999" s="28"/>
      <c r="C999" s="28"/>
      <c r="D999" s="28"/>
      <c r="E999" s="81"/>
    </row>
    <row r="1000">
      <c r="B1000" s="28"/>
      <c r="C1000" s="28"/>
      <c r="D1000" s="28"/>
      <c r="E1000" s="81"/>
    </row>
  </sheetData>
  <mergeCells count="1">
    <mergeCell ref="A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4.43"/>
    <col customWidth="1" min="2" max="2" width="15.86"/>
    <col customWidth="1" min="3" max="3" width="21.29"/>
    <col customWidth="1" min="4" max="4" width="15.86"/>
    <col customWidth="1" min="5" max="5" width="7.29"/>
    <col customWidth="1" min="6" max="6" width="28.0"/>
    <col customWidth="1" min="7" max="7" width="11.0"/>
    <col customWidth="1" min="8" max="8" width="12.0"/>
    <col customWidth="1" min="9" max="9" width="8.71"/>
    <col customWidth="1" min="10" max="10" width="10.86"/>
    <col customWidth="1" min="12" max="12" width="43.71"/>
  </cols>
  <sheetData>
    <row r="1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1" t="s">
        <v>2</v>
      </c>
      <c r="B2" s="2"/>
      <c r="C2" s="5" t="s">
        <v>1</v>
      </c>
      <c r="D2" s="1" t="s">
        <v>303</v>
      </c>
      <c r="E2" s="2"/>
      <c r="F2" s="2"/>
      <c r="G2" s="2"/>
      <c r="H2" s="2"/>
      <c r="I2" s="2"/>
      <c r="J2" s="1" t="s">
        <v>304</v>
      </c>
      <c r="K2" s="2"/>
      <c r="L2" s="5" t="s">
        <v>305</v>
      </c>
    </row>
    <row r="3">
      <c r="A3" s="8" t="s">
        <v>306</v>
      </c>
      <c r="B3" s="8" t="s">
        <v>307</v>
      </c>
      <c r="C3" s="7"/>
      <c r="D3" s="8" t="s">
        <v>307</v>
      </c>
      <c r="E3" s="8" t="s">
        <v>306</v>
      </c>
      <c r="F3" s="8" t="s">
        <v>308</v>
      </c>
      <c r="G3" s="8" t="s">
        <v>309</v>
      </c>
      <c r="H3" s="8" t="s">
        <v>310</v>
      </c>
      <c r="I3" s="8" t="s">
        <v>311</v>
      </c>
      <c r="J3" s="8" t="s">
        <v>306</v>
      </c>
      <c r="K3" s="8" t="s">
        <v>312</v>
      </c>
      <c r="L3" s="7"/>
    </row>
    <row r="4">
      <c r="A4" s="82" t="str">
        <f>HYPERLINK("https://docs.google.com/spreadsheets/d/14eN4V4imd53x81UQVckjyAx_2xIFGXJ8NE4XmE1oDkg/edit?usp=sharing","1")</f>
        <v>1</v>
      </c>
      <c r="B4" s="83">
        <v>6.0</v>
      </c>
      <c r="C4" s="10" t="s">
        <v>313</v>
      </c>
      <c r="D4" s="10">
        <v>1.0</v>
      </c>
      <c r="E4" s="84" t="str">
        <f>HYPERLINK("https://docs.google.com/document/d/1QoVGVKHULAyQWBmOZIf1zY_tuq0ciOlYx8sQIfocbQs/edit?usp=sharing","03")</f>
        <v>03</v>
      </c>
      <c r="F4" s="27"/>
      <c r="G4" s="10" t="s">
        <v>314</v>
      </c>
      <c r="H4" s="10" t="s">
        <v>315</v>
      </c>
      <c r="I4" s="10" t="s">
        <v>314</v>
      </c>
      <c r="J4" s="10" t="s">
        <v>107</v>
      </c>
      <c r="K4" s="10" t="s">
        <v>60</v>
      </c>
      <c r="L4" s="85"/>
    </row>
    <row r="5">
      <c r="A5" s="86"/>
      <c r="B5" s="86"/>
      <c r="C5" s="10" t="s">
        <v>316</v>
      </c>
      <c r="D5" s="10">
        <v>1.0</v>
      </c>
      <c r="E5" s="84" t="str">
        <f>HYPERLINK("https://docs.google.com/document/d/1I-MiIUEVNKwIs25YIC8MEjIrgwCR1YyZPHggDAdabdQ/edit?usp=sharing","02")</f>
        <v>02</v>
      </c>
      <c r="F5" s="27"/>
      <c r="G5" s="10" t="s">
        <v>314</v>
      </c>
      <c r="H5" s="10" t="s">
        <v>315</v>
      </c>
      <c r="I5" s="10" t="s">
        <v>314</v>
      </c>
      <c r="J5" s="10" t="s">
        <v>106</v>
      </c>
      <c r="K5" s="10" t="s">
        <v>60</v>
      </c>
      <c r="L5" s="85"/>
    </row>
    <row r="6">
      <c r="A6" s="86"/>
      <c r="B6" s="86"/>
      <c r="C6" s="10" t="s">
        <v>317</v>
      </c>
      <c r="D6" s="10">
        <v>1.0</v>
      </c>
      <c r="E6" s="84" t="str">
        <f t="shared" ref="E6:E9" si="1">HYPERLINK("https://docs.google.com/document/d/1wkxNW33NryLUP1mo0jHYFoMz9saf0wIf_YRv-jYsa_g/edit?usp=sharing","01")</f>
        <v>01</v>
      </c>
      <c r="F6" s="10" t="s">
        <v>318</v>
      </c>
      <c r="G6" s="10" t="s">
        <v>315</v>
      </c>
      <c r="H6" s="10" t="s">
        <v>315</v>
      </c>
      <c r="I6" s="10" t="s">
        <v>314</v>
      </c>
      <c r="J6" s="10" t="s">
        <v>87</v>
      </c>
      <c r="K6" s="10" t="s">
        <v>84</v>
      </c>
      <c r="L6" s="74" t="s">
        <v>319</v>
      </c>
    </row>
    <row r="7">
      <c r="A7" s="86"/>
      <c r="B7" s="86"/>
      <c r="C7" s="10" t="s">
        <v>216</v>
      </c>
      <c r="D7" s="10">
        <v>1.0</v>
      </c>
      <c r="E7" s="84" t="str">
        <f t="shared" si="1"/>
        <v>01</v>
      </c>
      <c r="F7" s="10" t="s">
        <v>318</v>
      </c>
      <c r="G7" s="10" t="s">
        <v>315</v>
      </c>
      <c r="H7" s="10" t="s">
        <v>315</v>
      </c>
      <c r="I7" s="10" t="s">
        <v>314</v>
      </c>
      <c r="J7" s="10" t="s">
        <v>49</v>
      </c>
      <c r="K7" s="10" t="s">
        <v>48</v>
      </c>
      <c r="L7" s="74" t="s">
        <v>319</v>
      </c>
    </row>
    <row r="8">
      <c r="A8" s="86"/>
      <c r="B8" s="86"/>
      <c r="C8" s="10" t="s">
        <v>207</v>
      </c>
      <c r="D8" s="10">
        <v>1.0</v>
      </c>
      <c r="E8" s="84" t="str">
        <f t="shared" si="1"/>
        <v>01</v>
      </c>
      <c r="F8" s="10" t="s">
        <v>318</v>
      </c>
      <c r="G8" s="10" t="s">
        <v>315</v>
      </c>
      <c r="H8" s="10" t="s">
        <v>315</v>
      </c>
      <c r="I8" s="10" t="s">
        <v>314</v>
      </c>
      <c r="J8" s="10" t="s">
        <v>57</v>
      </c>
      <c r="K8" s="10" t="s">
        <v>43</v>
      </c>
      <c r="L8" s="74" t="s">
        <v>319</v>
      </c>
    </row>
    <row r="9">
      <c r="A9" s="7"/>
      <c r="B9" s="7"/>
      <c r="C9" s="10" t="s">
        <v>320</v>
      </c>
      <c r="D9" s="10">
        <v>1.0</v>
      </c>
      <c r="E9" s="84" t="str">
        <f t="shared" si="1"/>
        <v>01</v>
      </c>
      <c r="F9" s="10" t="s">
        <v>318</v>
      </c>
      <c r="G9" s="10" t="s">
        <v>315</v>
      </c>
      <c r="H9" s="10" t="s">
        <v>315</v>
      </c>
      <c r="I9" s="10" t="s">
        <v>314</v>
      </c>
      <c r="J9" s="10" t="s">
        <v>59</v>
      </c>
      <c r="K9" s="10" t="s">
        <v>58</v>
      </c>
      <c r="L9" s="74" t="s">
        <v>319</v>
      </c>
    </row>
    <row r="10">
      <c r="A10" s="82" t="str">
        <f>HYPERLINK("https://docs.google.com/spreadsheets/d/18wmIvmUS3SeZNSPQeUzr6sPl9GBYpVSlOaFR_kJCmKo/edit?usp=sharing","2")</f>
        <v>2</v>
      </c>
      <c r="B10" s="83">
        <v>6.0</v>
      </c>
      <c r="C10" s="10" t="s">
        <v>321</v>
      </c>
      <c r="D10" s="10">
        <v>1.0</v>
      </c>
      <c r="E10" s="84" t="str">
        <f>HYPERLINK("https://docs.google.com/document/d/1fSuWSeRbGqiyyTyznlBdKKjaF8idNDcuvXFybBnOoHg/edit?usp=sharing","01")</f>
        <v>01</v>
      </c>
      <c r="F10" s="10" t="s">
        <v>318</v>
      </c>
      <c r="G10" s="10" t="s">
        <v>315</v>
      </c>
      <c r="H10" s="10" t="s">
        <v>315</v>
      </c>
      <c r="I10" s="10" t="s">
        <v>314</v>
      </c>
      <c r="J10" s="10" t="s">
        <v>139</v>
      </c>
      <c r="K10" s="10" t="s">
        <v>60</v>
      </c>
      <c r="L10" s="74" t="s">
        <v>319</v>
      </c>
    </row>
    <row r="11">
      <c r="A11" s="86"/>
      <c r="B11" s="86"/>
      <c r="C11" s="10" t="s">
        <v>322</v>
      </c>
      <c r="D11" s="10">
        <v>1.0</v>
      </c>
      <c r="E11" s="84" t="str">
        <f>HYPERLINK("https://docs.google.com/document/d/1b5sBj9jnXst_jEjltoJSfNAK1eUo1JfwQntpgChSb3M/edit?usp=sharing","02")</f>
        <v>02</v>
      </c>
      <c r="F11" s="27"/>
      <c r="G11" s="10" t="s">
        <v>314</v>
      </c>
      <c r="H11" s="10" t="s">
        <v>315</v>
      </c>
      <c r="I11" s="10" t="s">
        <v>314</v>
      </c>
      <c r="J11" s="10" t="s">
        <v>57</v>
      </c>
      <c r="K11" s="10" t="s">
        <v>43</v>
      </c>
      <c r="L11" s="85"/>
    </row>
    <row r="12">
      <c r="A12" s="86"/>
      <c r="B12" s="86"/>
      <c r="C12" s="10" t="s">
        <v>323</v>
      </c>
      <c r="D12" s="10">
        <v>1.0</v>
      </c>
      <c r="E12" s="84" t="str">
        <f>HYPERLINK("https://docs.google.com/document/d/1prL9ai_k_Abc94Ba-fb6nkrR7wryxXFCAS8glTacHb4/edit?usp=sharing","10")</f>
        <v>10</v>
      </c>
      <c r="F12" s="27"/>
      <c r="G12" s="10" t="s">
        <v>314</v>
      </c>
      <c r="H12" s="10" t="s">
        <v>314</v>
      </c>
      <c r="I12" s="10" t="s">
        <v>315</v>
      </c>
      <c r="J12" s="10" t="s">
        <v>52</v>
      </c>
      <c r="K12" s="10" t="s">
        <v>46</v>
      </c>
      <c r="L12" s="85"/>
    </row>
    <row r="13">
      <c r="A13" s="86"/>
      <c r="B13" s="86"/>
      <c r="C13" s="83" t="s">
        <v>324</v>
      </c>
      <c r="D13" s="87">
        <v>2.0</v>
      </c>
      <c r="E13" s="88" t="str">
        <f>HYPERLINK("https://docs.google.com/document/d/1b5sBj9jnXst_jEjltoJSfNAK1eUo1JfwQntpgChSb3M/edit?usp=sharing","02")</f>
        <v>02</v>
      </c>
      <c r="F13" s="89"/>
      <c r="G13" s="90" t="s">
        <v>314</v>
      </c>
      <c r="H13" s="91" t="s">
        <v>315</v>
      </c>
      <c r="I13" s="92" t="s">
        <v>314</v>
      </c>
      <c r="J13" s="93" t="s">
        <v>38</v>
      </c>
      <c r="K13" s="83" t="s">
        <v>37</v>
      </c>
      <c r="L13" s="94"/>
    </row>
    <row r="14">
      <c r="A14" s="86"/>
      <c r="B14" s="86"/>
      <c r="C14" s="7"/>
      <c r="D14" s="95"/>
      <c r="E14" s="96" t="str">
        <f>HYPERLINK("https://docs.google.com/document/d/1TUy4r2-Auns8Ff370FV4CTVVitya3m98S61PdQtJYxM/edit?usp=sharing","04")</f>
        <v>04</v>
      </c>
      <c r="F14" s="97"/>
      <c r="G14" s="98" t="s">
        <v>315</v>
      </c>
      <c r="H14" s="91" t="s">
        <v>315</v>
      </c>
      <c r="I14" s="36" t="s">
        <v>314</v>
      </c>
      <c r="J14" s="99"/>
      <c r="K14" s="7"/>
      <c r="L14" s="7"/>
    </row>
    <row r="15">
      <c r="A15" s="7"/>
      <c r="B15" s="7"/>
      <c r="C15" s="10" t="s">
        <v>288</v>
      </c>
      <c r="D15" s="10">
        <v>1.0</v>
      </c>
      <c r="E15" s="84" t="str">
        <f>HYPERLINK("https://docs.google.com/document/d/1fSuWSeRbGqiyyTyznlBdKKjaF8idNDcuvXFybBnOoHg/edit?usp=sharing","01")</f>
        <v>01</v>
      </c>
      <c r="F15" s="10" t="s">
        <v>318</v>
      </c>
      <c r="G15" s="10" t="s">
        <v>315</v>
      </c>
      <c r="H15" s="10" t="s">
        <v>315</v>
      </c>
      <c r="I15" s="10" t="s">
        <v>314</v>
      </c>
      <c r="J15" s="10" t="s">
        <v>30</v>
      </c>
      <c r="K15" s="10" t="s">
        <v>28</v>
      </c>
      <c r="L15" s="74" t="s">
        <v>319</v>
      </c>
    </row>
    <row r="16">
      <c r="A16" s="82" t="str">
        <f>HYPERLINK("https://docs.google.com/spreadsheets/d/1EZNO7rY3X3GsqJDX9iY8RpZJJDJ-K4nm_Mxm1g397N0/edit?usp=sharing","3")</f>
        <v>3</v>
      </c>
      <c r="B16" s="83">
        <v>8.0</v>
      </c>
      <c r="C16" s="10" t="s">
        <v>325</v>
      </c>
      <c r="D16" s="10">
        <v>1.0</v>
      </c>
      <c r="E16" s="84" t="str">
        <f>HYPERLINK("https://docs.google.com/document/d/1bxe761X3TbZVD7-T0nS4jG_Newg4KdV_Vy01kOrvaFE/edit?usp=sharing","01")</f>
        <v>01</v>
      </c>
      <c r="F16" s="10" t="s">
        <v>318</v>
      </c>
      <c r="G16" s="10" t="s">
        <v>315</v>
      </c>
      <c r="H16" s="10" t="s">
        <v>315</v>
      </c>
      <c r="I16" s="10" t="s">
        <v>314</v>
      </c>
      <c r="J16" s="10" t="s">
        <v>137</v>
      </c>
      <c r="K16" s="10" t="s">
        <v>60</v>
      </c>
      <c r="L16" s="74" t="s">
        <v>319</v>
      </c>
    </row>
    <row r="17">
      <c r="A17" s="86"/>
      <c r="B17" s="86"/>
      <c r="C17" s="10" t="s">
        <v>326</v>
      </c>
      <c r="D17" s="10">
        <v>1.0</v>
      </c>
      <c r="E17" s="84" t="str">
        <f>HYPERLINK("https://docs.google.com/document/d/14rtVyqj20daEd05fYgz_WuOAq-d0FsCSCB2eJD30l4U/edit?usp=sharing","02")</f>
        <v>02</v>
      </c>
      <c r="F17" s="27"/>
      <c r="G17" s="10" t="s">
        <v>315</v>
      </c>
      <c r="H17" s="10" t="s">
        <v>315</v>
      </c>
      <c r="I17" s="10" t="s">
        <v>314</v>
      </c>
      <c r="J17" s="10" t="s">
        <v>107</v>
      </c>
      <c r="K17" s="10" t="s">
        <v>60</v>
      </c>
      <c r="L17" s="85"/>
    </row>
    <row r="18">
      <c r="A18" s="86"/>
      <c r="B18" s="86"/>
      <c r="C18" s="10" t="s">
        <v>327</v>
      </c>
      <c r="D18" s="10">
        <v>1.0</v>
      </c>
      <c r="E18" s="84" t="str">
        <f t="shared" ref="E18:E19" si="2">HYPERLINK("https://docs.google.com/document/d/1bxe761X3TbZVD7-T0nS4jG_Newg4KdV_Vy01kOrvaFE/edit?usp=sharing","01")</f>
        <v>01</v>
      </c>
      <c r="F18" s="10" t="s">
        <v>318</v>
      </c>
      <c r="G18" s="10" t="s">
        <v>315</v>
      </c>
      <c r="H18" s="10" t="s">
        <v>315</v>
      </c>
      <c r="I18" s="10" t="s">
        <v>314</v>
      </c>
      <c r="J18" s="10" t="s">
        <v>106</v>
      </c>
      <c r="K18" s="10" t="s">
        <v>60</v>
      </c>
      <c r="L18" s="74" t="s">
        <v>319</v>
      </c>
    </row>
    <row r="19">
      <c r="A19" s="86"/>
      <c r="B19" s="86"/>
      <c r="C19" s="83" t="s">
        <v>328</v>
      </c>
      <c r="D19" s="83">
        <v>2.0</v>
      </c>
      <c r="E19" s="88" t="str">
        <f t="shared" si="2"/>
        <v>01</v>
      </c>
      <c r="F19" s="100" t="s">
        <v>318</v>
      </c>
      <c r="G19" s="90" t="s">
        <v>314</v>
      </c>
      <c r="H19" s="91" t="s">
        <v>314</v>
      </c>
      <c r="I19" s="92" t="s">
        <v>315</v>
      </c>
      <c r="J19" s="93" t="s">
        <v>87</v>
      </c>
      <c r="K19" s="83" t="s">
        <v>84</v>
      </c>
      <c r="L19" s="101" t="s">
        <v>319</v>
      </c>
    </row>
    <row r="20">
      <c r="A20" s="86"/>
      <c r="B20" s="86"/>
      <c r="C20" s="7"/>
      <c r="D20" s="7"/>
      <c r="E20" s="96" t="str">
        <f>HYPERLINK("https://docs.google.com/document/d/141fGngdA4Anbv9-D1HvlYmXgyiulDiiaNormctHd5tE/edit?usp=sharing","03")</f>
        <v>03</v>
      </c>
      <c r="F20" s="97"/>
      <c r="G20" s="98" t="s">
        <v>315</v>
      </c>
      <c r="H20" s="91" t="s">
        <v>315</v>
      </c>
      <c r="I20" s="36" t="s">
        <v>314</v>
      </c>
      <c r="J20" s="102"/>
      <c r="K20" s="86"/>
      <c r="L20" s="7"/>
    </row>
    <row r="21">
      <c r="A21" s="86"/>
      <c r="B21" s="86"/>
      <c r="C21" s="10" t="s">
        <v>329</v>
      </c>
      <c r="D21" s="10">
        <v>1.0</v>
      </c>
      <c r="E21" s="84" t="str">
        <f>HYPERLINK("https://docs.google.com/document/d/1D5aodZbpnkhIYazunKeIYvt8EsrZntgHPJb1hfFFIpM/edit?usp=sharing","12")</f>
        <v>12</v>
      </c>
      <c r="F21" s="10" t="s">
        <v>330</v>
      </c>
      <c r="G21" s="10" t="s">
        <v>314</v>
      </c>
      <c r="H21" s="10" t="s">
        <v>314</v>
      </c>
      <c r="I21" s="10" t="s">
        <v>315</v>
      </c>
      <c r="J21" s="10" t="s">
        <v>59</v>
      </c>
      <c r="K21" s="10" t="s">
        <v>58</v>
      </c>
      <c r="L21" s="85"/>
    </row>
    <row r="22">
      <c r="A22" s="86"/>
      <c r="B22" s="86"/>
      <c r="C22" s="10" t="s">
        <v>331</v>
      </c>
      <c r="D22" s="10">
        <v>1.0</v>
      </c>
      <c r="E22" s="84" t="str">
        <f>HYPERLINK("https://docs.google.com/document/d/1eBgnq4lfXM4BMlrVDQBy4fBkzc70kShWUmPxeiAqkts/edit?usp=sharing","10")</f>
        <v>10</v>
      </c>
      <c r="F22" s="27"/>
      <c r="G22" s="10" t="s">
        <v>314</v>
      </c>
      <c r="H22" s="10" t="s">
        <v>314</v>
      </c>
      <c r="I22" s="10" t="s">
        <v>315</v>
      </c>
      <c r="J22" s="10" t="s">
        <v>52</v>
      </c>
      <c r="K22" s="10" t="s">
        <v>46</v>
      </c>
      <c r="L22" s="85"/>
    </row>
    <row r="23">
      <c r="A23" s="7"/>
      <c r="B23" s="7"/>
      <c r="C23" s="100" t="s">
        <v>122</v>
      </c>
      <c r="D23" s="100">
        <v>1.0</v>
      </c>
      <c r="E23" s="88" t="str">
        <f>HYPERLINK("https://docs.google.com/document/d/1EpTtiGvWqNFjKje0q2Lkspj2JQ61w0i6GBu_l8rjkEE/edit?usp=sharing","07")</f>
        <v>07</v>
      </c>
      <c r="F23" s="100" t="s">
        <v>9</v>
      </c>
      <c r="G23" s="10" t="s">
        <v>315</v>
      </c>
      <c r="H23" s="10" t="s">
        <v>314</v>
      </c>
      <c r="I23" s="10" t="s">
        <v>315</v>
      </c>
      <c r="J23" s="100" t="s">
        <v>30</v>
      </c>
      <c r="K23" s="100" t="s">
        <v>28</v>
      </c>
      <c r="L23" s="85"/>
    </row>
    <row r="24">
      <c r="A24" s="82" t="str">
        <f>HYPERLINK("https://docs.google.com/spreadsheets/d/1nRsx7fR5xbH1eAbI_vBDvqXOgh7mXIwmZNhzrVL6oGM/edit?usp=sharing","4")</f>
        <v>4</v>
      </c>
      <c r="B24" s="83">
        <v>13.0</v>
      </c>
      <c r="C24" s="10" t="s">
        <v>332</v>
      </c>
      <c r="D24" s="10">
        <v>1.0</v>
      </c>
      <c r="E24" s="84" t="str">
        <f>HYPERLINK("https://docs.google.com/document/d/1R9MNKKJkB5EHk9_TtcVsSkpt4muYlcYE2uzzgSK_x6E/edit?usp=sharing","03")</f>
        <v>03</v>
      </c>
      <c r="F24" s="27"/>
      <c r="G24" s="10" t="s">
        <v>314</v>
      </c>
      <c r="H24" s="10" t="s">
        <v>314</v>
      </c>
      <c r="I24" s="10" t="s">
        <v>315</v>
      </c>
      <c r="J24" s="10" t="s">
        <v>107</v>
      </c>
      <c r="K24" s="103" t="s">
        <v>60</v>
      </c>
      <c r="L24" s="85"/>
    </row>
    <row r="25">
      <c r="A25" s="86"/>
      <c r="B25" s="86"/>
      <c r="C25" s="83" t="s">
        <v>333</v>
      </c>
      <c r="D25" s="83">
        <v>2.0</v>
      </c>
      <c r="E25" s="88" t="str">
        <f>HYPERLINK("https://docs.google.com/document/d/1Iq836Xwo-hDnBFAp2AX13dGGuvMhQsvKzikz9cIepPM/edit?usp=sharing","04")</f>
        <v>04</v>
      </c>
      <c r="F25" s="89"/>
      <c r="G25" s="90" t="s">
        <v>334</v>
      </c>
      <c r="H25" s="91" t="s">
        <v>315</v>
      </c>
      <c r="I25" s="92" t="s">
        <v>314</v>
      </c>
      <c r="J25" s="93" t="s">
        <v>87</v>
      </c>
      <c r="K25" s="83" t="s">
        <v>84</v>
      </c>
      <c r="L25" s="94"/>
    </row>
    <row r="26">
      <c r="A26" s="86"/>
      <c r="B26" s="86"/>
      <c r="C26" s="7"/>
      <c r="D26" s="7"/>
      <c r="E26" s="96" t="str">
        <f>HYPERLINK("https://docs.google.com/document/d/1MxpfKshPJQzVOiB4OXDQo0Nb50NSXltanQBzyyDDhEE/edit?usp=sharing","07")</f>
        <v>07</v>
      </c>
      <c r="F26" s="104" t="s">
        <v>9</v>
      </c>
      <c r="G26" s="98" t="s">
        <v>314</v>
      </c>
      <c r="H26" s="91" t="s">
        <v>314</v>
      </c>
      <c r="I26" s="36" t="s">
        <v>315</v>
      </c>
      <c r="J26" s="99"/>
      <c r="K26" s="7"/>
      <c r="L26" s="7"/>
    </row>
    <row r="27">
      <c r="A27" s="86"/>
      <c r="B27" s="86"/>
      <c r="C27" s="83" t="s">
        <v>335</v>
      </c>
      <c r="D27" s="83">
        <v>5.0</v>
      </c>
      <c r="E27" s="88" t="str">
        <f>HYPERLINK("https://docs.google.com/document/d/1Mtw3BDvnbzMC45PdnsydI67awrymBj3PWw7ShgsSoho/edit?usp=sharing","02")</f>
        <v>02</v>
      </c>
      <c r="F27" s="89"/>
      <c r="G27" s="90" t="s">
        <v>315</v>
      </c>
      <c r="H27" s="100" t="s">
        <v>315</v>
      </c>
      <c r="I27" s="105" t="s">
        <v>314</v>
      </c>
      <c r="J27" s="93" t="s">
        <v>49</v>
      </c>
      <c r="K27" s="83" t="s">
        <v>48</v>
      </c>
      <c r="L27" s="101" t="s">
        <v>336</v>
      </c>
    </row>
    <row r="28">
      <c r="A28" s="86"/>
      <c r="B28" s="86"/>
      <c r="C28" s="86"/>
      <c r="D28" s="86"/>
      <c r="E28" s="106" t="str">
        <f>HYPERLINK("https://docs.google.com/document/d/1Iq836Xwo-hDnBFAp2AX13dGGuvMhQsvKzikz9cIepPM/edit?usp=sharing","04")</f>
        <v>04</v>
      </c>
      <c r="F28" s="107"/>
      <c r="G28" s="108" t="s">
        <v>334</v>
      </c>
      <c r="H28" s="91" t="s">
        <v>315</v>
      </c>
      <c r="I28" s="105" t="s">
        <v>314</v>
      </c>
      <c r="J28" s="102"/>
      <c r="K28" s="86"/>
      <c r="L28" s="86"/>
    </row>
    <row r="29">
      <c r="A29" s="86"/>
      <c r="B29" s="86"/>
      <c r="C29" s="86"/>
      <c r="D29" s="86"/>
      <c r="E29" s="106" t="str">
        <f>HYPERLINK("https://docs.google.com/document/d/18_AFNiQk3UW4DY8XI16MB498ZC5mk-4dEvZnrBowroI/edit?usp=sharing","05")</f>
        <v>05</v>
      </c>
      <c r="F29" s="107"/>
      <c r="G29" s="108" t="s">
        <v>314</v>
      </c>
      <c r="H29" s="91" t="s">
        <v>314</v>
      </c>
      <c r="I29" s="105" t="s">
        <v>315</v>
      </c>
      <c r="J29" s="102"/>
      <c r="K29" s="86"/>
      <c r="L29" s="86"/>
    </row>
    <row r="30">
      <c r="A30" s="86"/>
      <c r="B30" s="86"/>
      <c r="C30" s="86"/>
      <c r="D30" s="86"/>
      <c r="E30" s="106" t="str">
        <f>HYPERLINK("https://docs.google.com/document/d/1NAQSqRjnqNz8a-PIjX1IW7XSn2ZWlGLFctkDlGLiV00/edit?usp=sharing","06")</f>
        <v>06</v>
      </c>
      <c r="F30" s="107"/>
      <c r="G30" s="108" t="s">
        <v>314</v>
      </c>
      <c r="H30" s="91" t="s">
        <v>315</v>
      </c>
      <c r="I30" s="105" t="s">
        <v>314</v>
      </c>
      <c r="J30" s="102"/>
      <c r="K30" s="86"/>
      <c r="L30" s="86"/>
    </row>
    <row r="31">
      <c r="A31" s="86"/>
      <c r="B31" s="86"/>
      <c r="C31" s="7"/>
      <c r="D31" s="7"/>
      <c r="E31" s="96" t="str">
        <f>HYPERLINK("https://docs.google.com/document/d/1MxpfKshPJQzVOiB4OXDQo0Nb50NSXltanQBzyyDDhEE/edit?usp=sharing","07")</f>
        <v>07</v>
      </c>
      <c r="F31" s="104" t="s">
        <v>9</v>
      </c>
      <c r="G31" s="98" t="s">
        <v>314</v>
      </c>
      <c r="H31" s="104" t="s">
        <v>314</v>
      </c>
      <c r="I31" s="36" t="s">
        <v>315</v>
      </c>
      <c r="J31" s="99"/>
      <c r="K31" s="7"/>
      <c r="L31" s="7"/>
    </row>
    <row r="32">
      <c r="A32" s="86"/>
      <c r="B32" s="86"/>
      <c r="C32" s="10" t="s">
        <v>337</v>
      </c>
      <c r="D32" s="10">
        <v>1.0</v>
      </c>
      <c r="E32" s="84" t="str">
        <f>HYPERLINK("https://docs.google.com/document/d/1Iq836Xwo-hDnBFAp2AX13dGGuvMhQsvKzikz9cIepPM/edit?usp=sharing","04")</f>
        <v>04</v>
      </c>
      <c r="F32" s="27"/>
      <c r="G32" s="10" t="s">
        <v>334</v>
      </c>
      <c r="H32" s="10" t="s">
        <v>315</v>
      </c>
      <c r="I32" s="10" t="s">
        <v>314</v>
      </c>
      <c r="J32" s="10" t="s">
        <v>59</v>
      </c>
      <c r="K32" s="10" t="s">
        <v>58</v>
      </c>
      <c r="L32" s="85"/>
    </row>
    <row r="33">
      <c r="A33" s="86"/>
      <c r="B33" s="86"/>
      <c r="C33" s="10" t="s">
        <v>232</v>
      </c>
      <c r="D33" s="10">
        <v>1.0</v>
      </c>
      <c r="E33" s="84" t="str">
        <f>HYPERLINK("https://docs.google.com/document/d/1G1ZYzxrZ0iu65l1QVEHN4lze3-jvpviembAvf_Px3-I/edit?usp=sharing","10")</f>
        <v>10</v>
      </c>
      <c r="F33" s="27"/>
      <c r="G33" s="10" t="s">
        <v>314</v>
      </c>
      <c r="H33" s="10" t="s">
        <v>314</v>
      </c>
      <c r="I33" s="10" t="s">
        <v>315</v>
      </c>
      <c r="J33" s="10" t="s">
        <v>25</v>
      </c>
      <c r="K33" s="10" t="s">
        <v>24</v>
      </c>
      <c r="L33" s="85"/>
    </row>
    <row r="34">
      <c r="A34" s="86"/>
      <c r="B34" s="86"/>
      <c r="C34" s="10" t="s">
        <v>338</v>
      </c>
      <c r="D34" s="10">
        <v>1.0</v>
      </c>
      <c r="E34" s="84" t="str">
        <f>HYPERLINK("https://docs.google.com/document/d/1MxpfKshPJQzVOiB4OXDQo0Nb50NSXltanQBzyyDDhEE/edit?usp=sharing","07")</f>
        <v>07</v>
      </c>
      <c r="F34" s="10" t="s">
        <v>9</v>
      </c>
      <c r="G34" s="10" t="s">
        <v>334</v>
      </c>
      <c r="H34" s="10" t="s">
        <v>314</v>
      </c>
      <c r="I34" s="10" t="s">
        <v>315</v>
      </c>
      <c r="J34" s="10" t="s">
        <v>27</v>
      </c>
      <c r="K34" s="10" t="s">
        <v>26</v>
      </c>
      <c r="L34" s="85"/>
    </row>
    <row r="35">
      <c r="A35" s="86"/>
      <c r="B35" s="86"/>
      <c r="C35" s="109" t="s">
        <v>339</v>
      </c>
      <c r="D35" s="109">
        <v>2.0</v>
      </c>
      <c r="E35" s="106" t="str">
        <f>HYPERLINK("https://docs.google.com/document/d/1NAQSqRjnqNz8a-PIjX1IW7XSn2ZWlGLFctkDlGLiV00/edit?usp=sharing","06")</f>
        <v>06</v>
      </c>
      <c r="F35" s="107"/>
      <c r="G35" s="108" t="s">
        <v>315</v>
      </c>
      <c r="H35" s="91" t="s">
        <v>314</v>
      </c>
      <c r="I35" s="92" t="s">
        <v>315</v>
      </c>
      <c r="J35" s="110" t="s">
        <v>30</v>
      </c>
      <c r="K35" s="109" t="s">
        <v>28</v>
      </c>
      <c r="L35" s="101" t="s">
        <v>340</v>
      </c>
    </row>
    <row r="36">
      <c r="A36" s="7"/>
      <c r="B36" s="7"/>
      <c r="C36" s="7"/>
      <c r="D36" s="7"/>
      <c r="E36" s="106" t="str">
        <f>HYPERLINK("https://docs.google.com/document/d/1MxpfKshPJQzVOiB4OXDQo0Nb50NSXltanQBzyyDDhEE/edit?usp=sharing","07")</f>
        <v>07</v>
      </c>
      <c r="F36" s="104" t="s">
        <v>9</v>
      </c>
      <c r="G36" s="98" t="s">
        <v>314</v>
      </c>
      <c r="H36" s="91" t="s">
        <v>314</v>
      </c>
      <c r="I36" s="36" t="s">
        <v>315</v>
      </c>
      <c r="J36" s="99"/>
      <c r="K36" s="7"/>
      <c r="L36" s="7"/>
    </row>
    <row r="37">
      <c r="A37" s="82" t="str">
        <f>HYPERLINK("https://docs.google.com/spreadsheets/d/1TniiK35-AGMNddj9lkge_tT9QfOGXMfX2thnTv8npTo/edit?usp=sharing","5")</f>
        <v>5</v>
      </c>
      <c r="B37" s="83">
        <v>8.0</v>
      </c>
      <c r="C37" s="104" t="s">
        <v>341</v>
      </c>
      <c r="D37" s="10">
        <v>1.0</v>
      </c>
      <c r="E37" s="84" t="str">
        <f>HYPERLINK("https://docs.google.com/document/d/1EhGwo4AP2Cgfnk3r9HKe2_fJr-xnfoTh1qQZlPMMH54/edit?usp=sharing","03")</f>
        <v>03</v>
      </c>
      <c r="F37" s="10" t="s">
        <v>342</v>
      </c>
      <c r="G37" s="103" t="s">
        <v>314</v>
      </c>
      <c r="H37" s="10" t="s">
        <v>314</v>
      </c>
      <c r="I37" s="43" t="s">
        <v>315</v>
      </c>
      <c r="J37" s="43" t="s">
        <v>106</v>
      </c>
      <c r="K37" s="104" t="s">
        <v>60</v>
      </c>
      <c r="L37" s="74"/>
    </row>
    <row r="38">
      <c r="A38" s="86"/>
      <c r="B38" s="86"/>
      <c r="C38" s="104" t="s">
        <v>343</v>
      </c>
      <c r="D38" s="10">
        <v>1.0</v>
      </c>
      <c r="E38" s="84" t="str">
        <f>HYPERLINK("https://docs.google.com/document/d/1OLbq4HAqRLYl3X2m0rjl3V8A_4M8Bc-GVjRoTV3FpnY/edit?usp=sharing","08")</f>
        <v>08</v>
      </c>
      <c r="F38" s="10"/>
      <c r="G38" s="103" t="s">
        <v>334</v>
      </c>
      <c r="H38" s="10" t="s">
        <v>314</v>
      </c>
      <c r="I38" s="43" t="s">
        <v>315</v>
      </c>
      <c r="J38" s="43" t="s">
        <v>87</v>
      </c>
      <c r="K38" s="104" t="s">
        <v>84</v>
      </c>
      <c r="L38" s="74"/>
    </row>
    <row r="39">
      <c r="A39" s="86"/>
      <c r="B39" s="86"/>
      <c r="C39" s="104" t="s">
        <v>344</v>
      </c>
      <c r="D39" s="10">
        <v>1.0</v>
      </c>
      <c r="E39" s="84" t="str">
        <f>HYPERLINK("https://docs.google.com/document/d/1a5g8Eetet_yNNDHJjznuo3XiJeJCsX98GbXQqEDyD40/edit?usp=sharing","05")</f>
        <v>05</v>
      </c>
      <c r="F39" s="10" t="s">
        <v>345</v>
      </c>
      <c r="G39" s="103" t="s">
        <v>315</v>
      </c>
      <c r="H39" s="10" t="s">
        <v>314</v>
      </c>
      <c r="I39" s="43" t="s">
        <v>315</v>
      </c>
      <c r="J39" s="43" t="s">
        <v>49</v>
      </c>
      <c r="K39" s="104" t="s">
        <v>48</v>
      </c>
      <c r="L39" s="74"/>
    </row>
    <row r="40">
      <c r="A40" s="86"/>
      <c r="B40" s="86"/>
      <c r="C40" s="104" t="s">
        <v>346</v>
      </c>
      <c r="D40" s="10">
        <v>1.0</v>
      </c>
      <c r="E40" s="84" t="str">
        <f>HYPERLINK("https://docs.google.com/document/d/1jX4VXlrhLsGMxFCfUOFJ3ks-YnBloiuCCShzMgaIkl4/edit?usp=sharing","02")</f>
        <v>02</v>
      </c>
      <c r="F40" s="10"/>
      <c r="G40" s="103" t="s">
        <v>315</v>
      </c>
      <c r="H40" s="10" t="s">
        <v>315</v>
      </c>
      <c r="I40" s="43" t="s">
        <v>314</v>
      </c>
      <c r="J40" s="43" t="s">
        <v>57</v>
      </c>
      <c r="K40" s="104" t="s">
        <v>43</v>
      </c>
      <c r="L40" s="74"/>
    </row>
    <row r="41">
      <c r="A41" s="86"/>
      <c r="B41" s="86"/>
      <c r="C41" s="109" t="s">
        <v>347</v>
      </c>
      <c r="D41" s="83">
        <v>2.0</v>
      </c>
      <c r="E41" s="88" t="str">
        <f>HYPERLINK("https://docs.google.com/document/d/1JTPfTa1Nf06cVMcDPLRfJRDZqW4mRuYrKpRMogyLqYo/edit?usp=sharing","04")</f>
        <v>04</v>
      </c>
      <c r="F41" s="100"/>
      <c r="G41" s="90" t="s">
        <v>315</v>
      </c>
      <c r="H41" s="100" t="s">
        <v>315</v>
      </c>
      <c r="I41" s="92" t="s">
        <v>314</v>
      </c>
      <c r="J41" s="93" t="s">
        <v>59</v>
      </c>
      <c r="K41" s="109" t="s">
        <v>58</v>
      </c>
      <c r="L41" s="111"/>
    </row>
    <row r="42">
      <c r="A42" s="86"/>
      <c r="B42" s="86"/>
      <c r="C42" s="7"/>
      <c r="D42" s="7"/>
      <c r="E42" s="96" t="str">
        <f>HYPERLINK("https://docs.google.com/document/d/1lMENBU0ZfTgCFdKoU2c5syxJyBFAIW8R4NnXtftfUJk/edit?usp=sharing","07")</f>
        <v>07</v>
      </c>
      <c r="F42" s="104" t="s">
        <v>348</v>
      </c>
      <c r="G42" s="98" t="s">
        <v>315</v>
      </c>
      <c r="H42" s="104" t="s">
        <v>314</v>
      </c>
      <c r="I42" s="36" t="s">
        <v>315</v>
      </c>
      <c r="J42" s="99"/>
      <c r="K42" s="7"/>
      <c r="L42" s="7"/>
    </row>
    <row r="43">
      <c r="A43" s="86"/>
      <c r="B43" s="86"/>
      <c r="C43" s="104" t="s">
        <v>349</v>
      </c>
      <c r="D43" s="10">
        <v>1.0</v>
      </c>
      <c r="E43" s="84" t="str">
        <f>HYPERLINK("https://docs.google.com/document/d/1jX4VXlrhLsGMxFCfUOFJ3ks-YnBloiuCCShzMgaIkl4/edit?usp=sharing","02")</f>
        <v>02</v>
      </c>
      <c r="F43" s="10"/>
      <c r="G43" s="103" t="s">
        <v>314</v>
      </c>
      <c r="H43" s="10" t="s">
        <v>314</v>
      </c>
      <c r="I43" s="43" t="s">
        <v>315</v>
      </c>
      <c r="J43" s="43" t="s">
        <v>52</v>
      </c>
      <c r="K43" s="104" t="s">
        <v>46</v>
      </c>
      <c r="L43" s="74"/>
    </row>
    <row r="44">
      <c r="A44" s="7"/>
      <c r="B44" s="7"/>
      <c r="C44" s="104" t="s">
        <v>350</v>
      </c>
      <c r="D44" s="10">
        <v>1.0</v>
      </c>
      <c r="E44" s="84" t="str">
        <f>HYPERLINK("https://docs.google.com/document/d/1EhGwo4AP2Cgfnk3r9HKe2_fJr-xnfoTh1qQZlPMMH54/edit?usp=sharing","03")</f>
        <v>03</v>
      </c>
      <c r="F44" s="10" t="s">
        <v>342</v>
      </c>
      <c r="G44" s="103" t="s">
        <v>315</v>
      </c>
      <c r="H44" s="10" t="s">
        <v>315</v>
      </c>
      <c r="I44" s="43" t="s">
        <v>314</v>
      </c>
      <c r="J44" s="43" t="s">
        <v>25</v>
      </c>
      <c r="K44" s="104" t="s">
        <v>24</v>
      </c>
      <c r="L44" s="74"/>
    </row>
    <row r="45">
      <c r="A45" s="82" t="str">
        <f>HYPERLINK("https://docs.google.com/spreadsheets/d/1w0I5RoQ7uENhUG1ncC5V9B3b6BQapplx180-f9F9s4w/edit?usp=sharing","6")</f>
        <v>6</v>
      </c>
      <c r="B45" s="83">
        <v>8.0</v>
      </c>
      <c r="C45" s="104" t="s">
        <v>351</v>
      </c>
      <c r="D45" s="10">
        <v>1.0</v>
      </c>
      <c r="E45" s="112" t="str">
        <f>HYPERLINK("https://docs.google.com/document/d/1AZFp0rLkSHsN9paH5Qeg_kAtulL5uSniqlqhq7MdE0o/edit?usp=sharing","02")</f>
        <v>02</v>
      </c>
      <c r="F45" s="10"/>
      <c r="G45" s="103" t="s">
        <v>314</v>
      </c>
      <c r="H45" s="10" t="s">
        <v>315</v>
      </c>
      <c r="I45" s="10" t="s">
        <v>314</v>
      </c>
      <c r="J45" s="43" t="s">
        <v>137</v>
      </c>
      <c r="K45" s="104" t="s">
        <v>60</v>
      </c>
      <c r="L45" s="74"/>
    </row>
    <row r="46">
      <c r="A46" s="86"/>
      <c r="B46" s="86"/>
      <c r="C46" s="104" t="s">
        <v>352</v>
      </c>
      <c r="D46" s="10">
        <v>1.0</v>
      </c>
      <c r="E46" s="113" t="str">
        <f>HYPERLINK("https://docs.google.com/document/d/1mC3Zxgh5p5XLqy6I-KVQlKBhmIFVg3g6R8nzz8_r0hk/edit?usp=sharing","04")</f>
        <v>04</v>
      </c>
      <c r="F46" s="10" t="s">
        <v>353</v>
      </c>
      <c r="G46" s="114" t="s">
        <v>314</v>
      </c>
      <c r="H46" s="10" t="s">
        <v>314</v>
      </c>
      <c r="I46" s="43" t="s">
        <v>315</v>
      </c>
      <c r="J46" s="43" t="s">
        <v>107</v>
      </c>
      <c r="K46" s="104" t="s">
        <v>60</v>
      </c>
      <c r="L46" s="74"/>
    </row>
    <row r="47">
      <c r="A47" s="86"/>
      <c r="B47" s="86"/>
      <c r="C47" s="104" t="s">
        <v>354</v>
      </c>
      <c r="D47" s="10">
        <v>1.0</v>
      </c>
      <c r="E47" s="112" t="str">
        <f>HYPERLINK("https://docs.google.com/document/d/1HjIxgJo3WEilx9CR-L8deD_xBFx3-N0vxc4RXamZGao/edit?usp=sharing","06")</f>
        <v>06</v>
      </c>
      <c r="F47" s="10"/>
      <c r="G47" s="114" t="s">
        <v>315</v>
      </c>
      <c r="H47" s="10" t="s">
        <v>315</v>
      </c>
      <c r="I47" s="43" t="s">
        <v>314</v>
      </c>
      <c r="J47" s="43" t="s">
        <v>61</v>
      </c>
      <c r="K47" s="104" t="s">
        <v>60</v>
      </c>
      <c r="L47" s="74"/>
    </row>
    <row r="48">
      <c r="A48" s="86"/>
      <c r="B48" s="86"/>
      <c r="C48" s="104" t="s">
        <v>355</v>
      </c>
      <c r="D48" s="10">
        <v>1.0</v>
      </c>
      <c r="E48" s="112" t="str">
        <f>HYPERLINK("https://docs.google.com/document/d/1l8MEB2IGzdT5We1OPuSskFHYkBAdLHqE92sLrQSiXmA/edit?usp=sharing","09")</f>
        <v>09</v>
      </c>
      <c r="F48" s="10"/>
      <c r="G48" s="114" t="s">
        <v>314</v>
      </c>
      <c r="H48" s="10" t="s">
        <v>314</v>
      </c>
      <c r="I48" s="43" t="s">
        <v>315</v>
      </c>
      <c r="J48" s="43" t="s">
        <v>59</v>
      </c>
      <c r="K48" s="104" t="s">
        <v>58</v>
      </c>
      <c r="L48" s="74"/>
    </row>
    <row r="49">
      <c r="A49" s="86"/>
      <c r="B49" s="86"/>
      <c r="C49" s="109" t="s">
        <v>356</v>
      </c>
      <c r="D49" s="83">
        <v>3.0</v>
      </c>
      <c r="E49" s="115" t="str">
        <f>HYPERLINK("https://docs.google.com/document/d/1AZFp0rLkSHsN9paH5Qeg_kAtulL5uSniqlqhq7MdE0o/edit?usp=sharing","02")</f>
        <v>02</v>
      </c>
      <c r="F49" s="100"/>
      <c r="G49" s="116" t="s">
        <v>314</v>
      </c>
      <c r="H49" s="100" t="s">
        <v>315</v>
      </c>
      <c r="I49" s="92" t="s">
        <v>314</v>
      </c>
      <c r="J49" s="93" t="s">
        <v>38</v>
      </c>
      <c r="K49" s="109" t="s">
        <v>37</v>
      </c>
      <c r="L49" s="111"/>
    </row>
    <row r="50">
      <c r="A50" s="86"/>
      <c r="B50" s="86"/>
      <c r="C50" s="86"/>
      <c r="D50" s="86"/>
      <c r="E50" s="117" t="str">
        <f>HYPERLINK("https://docs.google.com/document/d/1HjIxgJo3WEilx9CR-L8deD_xBFx3-N0vxc4RXamZGao/edit?usp=sharing","06")</f>
        <v>06</v>
      </c>
      <c r="F50" s="91"/>
      <c r="G50" s="118" t="s">
        <v>315</v>
      </c>
      <c r="H50" s="91" t="s">
        <v>315</v>
      </c>
      <c r="I50" s="105" t="s">
        <v>314</v>
      </c>
      <c r="J50" s="102"/>
      <c r="K50" s="86"/>
      <c r="L50" s="86"/>
    </row>
    <row r="51">
      <c r="A51" s="86"/>
      <c r="B51" s="86"/>
      <c r="C51" s="7"/>
      <c r="D51" s="7"/>
      <c r="E51" s="119" t="str">
        <f>HYPERLINK("https://docs.google.com/document/d/1g41nGSQnRVTiGfVLc51JFpX-c_-gABurLX-sMTJuydQ/edit?usp=sharing","12")</f>
        <v>12</v>
      </c>
      <c r="F51" s="104" t="s">
        <v>357</v>
      </c>
      <c r="G51" s="120" t="s">
        <v>315</v>
      </c>
      <c r="H51" s="104" t="s">
        <v>314</v>
      </c>
      <c r="I51" s="36" t="s">
        <v>315</v>
      </c>
      <c r="J51" s="99"/>
      <c r="K51" s="7"/>
      <c r="L51" s="7"/>
    </row>
    <row r="52">
      <c r="A52" s="7"/>
      <c r="B52" s="7"/>
      <c r="C52" s="104" t="s">
        <v>218</v>
      </c>
      <c r="D52" s="10">
        <v>1.0</v>
      </c>
      <c r="E52" s="84" t="str">
        <f>HYPERLINK("https://docs.google.com/document/d/1AH5sr-cfz_pOSnlLUTKcOumf3miJvnEEx8zr2eWdK7M/edit?usp=sharing","03")</f>
        <v>03</v>
      </c>
      <c r="F52" s="10"/>
      <c r="G52" s="103" t="s">
        <v>315</v>
      </c>
      <c r="H52" s="10" t="s">
        <v>315</v>
      </c>
      <c r="I52" s="10" t="s">
        <v>314</v>
      </c>
      <c r="J52" s="43" t="s">
        <v>30</v>
      </c>
      <c r="K52" s="104" t="s">
        <v>28</v>
      </c>
      <c r="L52" s="74"/>
    </row>
    <row r="53">
      <c r="A53" s="82" t="str">
        <f>HYPERLINK("https://docs.google.com/spreadsheets/d/1tPYt5CqjX32YXnh0BRsechvszEP2n4_ePabpiRTSzqE/edit?usp=sharing","7")</f>
        <v>7</v>
      </c>
      <c r="B53" s="83">
        <v>15.0</v>
      </c>
      <c r="C53" s="104" t="s">
        <v>358</v>
      </c>
      <c r="D53" s="10">
        <v>1.0</v>
      </c>
      <c r="E53" s="84" t="str">
        <f t="shared" ref="E53:E54" si="3">HYPERLINK("https://docs.google.com/document/d/18RLuLT6tiSOIv4w4UKurlFi4wxDgc675RW3zkWLtRGo/edit?usp=sharing","02")</f>
        <v>02</v>
      </c>
      <c r="F53" s="10"/>
      <c r="G53" s="103" t="s">
        <v>315</v>
      </c>
      <c r="H53" s="10" t="s">
        <v>315</v>
      </c>
      <c r="I53" s="43" t="s">
        <v>314</v>
      </c>
      <c r="J53" s="43" t="s">
        <v>107</v>
      </c>
      <c r="K53" s="104" t="s">
        <v>60</v>
      </c>
      <c r="L53" s="74"/>
    </row>
    <row r="54">
      <c r="A54" s="86"/>
      <c r="B54" s="86"/>
      <c r="C54" s="83" t="s">
        <v>359</v>
      </c>
      <c r="D54" s="83">
        <v>3.0</v>
      </c>
      <c r="E54" s="88" t="str">
        <f t="shared" si="3"/>
        <v>02</v>
      </c>
      <c r="F54" s="100"/>
      <c r="G54" s="90" t="s">
        <v>314</v>
      </c>
      <c r="H54" s="100" t="s">
        <v>314</v>
      </c>
      <c r="I54" s="92" t="s">
        <v>315</v>
      </c>
      <c r="J54" s="93" t="s">
        <v>87</v>
      </c>
      <c r="K54" s="83" t="s">
        <v>84</v>
      </c>
      <c r="L54" s="101" t="s">
        <v>340</v>
      </c>
    </row>
    <row r="55">
      <c r="A55" s="86"/>
      <c r="B55" s="86"/>
      <c r="C55" s="86"/>
      <c r="D55" s="86"/>
      <c r="E55" s="106" t="str">
        <f>HYPERLINK("https://docs.google.com/document/d/1ZgPpwP3WjMtL8-ZiOr-KXQqNFyPlX8wKeKxWOUqFLQM/edit?usp=sharing","07")</f>
        <v>07</v>
      </c>
      <c r="F55" s="91" t="s">
        <v>360</v>
      </c>
      <c r="G55" s="108" t="s">
        <v>314</v>
      </c>
      <c r="H55" s="91" t="s">
        <v>314</v>
      </c>
      <c r="I55" s="105" t="s">
        <v>315</v>
      </c>
      <c r="J55" s="102"/>
      <c r="K55" s="86"/>
      <c r="L55" s="86"/>
    </row>
    <row r="56">
      <c r="A56" s="86"/>
      <c r="B56" s="86"/>
      <c r="C56" s="7"/>
      <c r="D56" s="7"/>
      <c r="E56" s="96" t="str">
        <f>HYPERLINK("https://docs.google.com/document/d/11czcsdsM9l3W05sxxQ0xqLX_UeeLynvjbR373Zg_Q14/edit?usp=sharing","08")</f>
        <v>08</v>
      </c>
      <c r="F56" s="104" t="s">
        <v>361</v>
      </c>
      <c r="G56" s="98" t="s">
        <v>315</v>
      </c>
      <c r="H56" s="104" t="s">
        <v>314</v>
      </c>
      <c r="I56" s="36" t="s">
        <v>315</v>
      </c>
      <c r="J56" s="99"/>
      <c r="K56" s="7"/>
      <c r="L56" s="7"/>
    </row>
    <row r="57">
      <c r="A57" s="86"/>
      <c r="B57" s="86"/>
      <c r="C57" s="109" t="s">
        <v>362</v>
      </c>
      <c r="D57" s="83">
        <v>2.0</v>
      </c>
      <c r="E57" s="88" t="str">
        <f>HYPERLINK("https://docs.google.com/document/d/1PHSlY75Zwn-XEHX7Z70dbw7Tw51e5jU3tjuMHp8-_6U/edit?usp=sharing","06")</f>
        <v>06</v>
      </c>
      <c r="F57" s="100"/>
      <c r="G57" s="90" t="s">
        <v>314</v>
      </c>
      <c r="H57" s="100" t="s">
        <v>315</v>
      </c>
      <c r="I57" s="92" t="s">
        <v>314</v>
      </c>
      <c r="J57" s="93" t="s">
        <v>57</v>
      </c>
      <c r="K57" s="109" t="s">
        <v>43</v>
      </c>
      <c r="L57" s="101"/>
    </row>
    <row r="58">
      <c r="A58" s="86"/>
      <c r="B58" s="86"/>
      <c r="C58" s="7"/>
      <c r="D58" s="7"/>
      <c r="E58" s="96" t="str">
        <f>HYPERLINK("https://docs.google.com/document/d/1iO5aCJ8P7x58TNzEysV6kBFMgtifbP1Kx-JzqTTrxGQ/edit?usp=sharing","10")</f>
        <v>10</v>
      </c>
      <c r="F58" s="104"/>
      <c r="G58" s="98" t="s">
        <v>314</v>
      </c>
      <c r="H58" s="104" t="s">
        <v>314</v>
      </c>
      <c r="I58" s="36" t="s">
        <v>315</v>
      </c>
      <c r="J58" s="99"/>
      <c r="K58" s="7"/>
      <c r="L58" s="7"/>
    </row>
    <row r="59">
      <c r="A59" s="86"/>
      <c r="B59" s="86"/>
      <c r="C59" s="109" t="s">
        <v>363</v>
      </c>
      <c r="D59" s="83">
        <v>4.0</v>
      </c>
      <c r="E59" s="88" t="str">
        <f>HYPERLINK("https://docs.google.com/document/d/1mHjZzCC01avhVLVoMV7e8zxFxbvWBAa6PCTl35IhKEQ/edit?usp=sharing","05")</f>
        <v>05</v>
      </c>
      <c r="F59" s="100"/>
      <c r="G59" s="90" t="s">
        <v>314</v>
      </c>
      <c r="H59" s="100" t="s">
        <v>314</v>
      </c>
      <c r="I59" s="92" t="s">
        <v>315</v>
      </c>
      <c r="J59" s="93" t="s">
        <v>59</v>
      </c>
      <c r="K59" s="109" t="s">
        <v>58</v>
      </c>
      <c r="L59" s="101" t="s">
        <v>364</v>
      </c>
    </row>
    <row r="60">
      <c r="A60" s="86"/>
      <c r="B60" s="86"/>
      <c r="C60" s="86"/>
      <c r="D60" s="86"/>
      <c r="E60" s="106" t="str">
        <f>HYPERLINK("https://docs.google.com/document/d/1PHSlY75Zwn-XEHX7Z70dbw7Tw51e5jU3tjuMHp8-_6U/edit?usp=sharing","06")</f>
        <v>06</v>
      </c>
      <c r="F60" s="91"/>
      <c r="G60" s="108" t="s">
        <v>315</v>
      </c>
      <c r="H60" s="91" t="s">
        <v>314</v>
      </c>
      <c r="I60" s="105" t="s">
        <v>315</v>
      </c>
      <c r="J60" s="102"/>
      <c r="K60" s="86"/>
      <c r="L60" s="86"/>
    </row>
    <row r="61">
      <c r="A61" s="86"/>
      <c r="B61" s="86"/>
      <c r="C61" s="86"/>
      <c r="D61" s="86"/>
      <c r="E61" s="106" t="str">
        <f>HYPERLINK("https://docs.google.com/document/d/1ZgPpwP3WjMtL8-ZiOr-KXQqNFyPlX8wKeKxWOUqFLQM/edit?usp=sharing","07")</f>
        <v>07</v>
      </c>
      <c r="F61" s="91" t="s">
        <v>360</v>
      </c>
      <c r="G61" s="108" t="s">
        <v>314</v>
      </c>
      <c r="H61" s="91" t="s">
        <v>314</v>
      </c>
      <c r="I61" s="105" t="s">
        <v>315</v>
      </c>
      <c r="J61" s="102"/>
      <c r="K61" s="86"/>
      <c r="L61" s="86"/>
    </row>
    <row r="62">
      <c r="A62" s="86"/>
      <c r="B62" s="86"/>
      <c r="C62" s="7"/>
      <c r="D62" s="7"/>
      <c r="E62" s="96" t="str">
        <f>HYPERLINK("https://docs.google.com/document/d/1iO5aCJ8P7x58TNzEysV6kBFMgtifbP1Kx-JzqTTrxGQ/edit?usp=sharing","10")</f>
        <v>10</v>
      </c>
      <c r="F62" s="104"/>
      <c r="G62" s="98" t="s">
        <v>314</v>
      </c>
      <c r="H62" s="104" t="s">
        <v>314</v>
      </c>
      <c r="I62" s="36" t="s">
        <v>315</v>
      </c>
      <c r="J62" s="99"/>
      <c r="K62" s="7"/>
      <c r="L62" s="7"/>
    </row>
    <row r="63">
      <c r="A63" s="86"/>
      <c r="B63" s="86"/>
      <c r="C63" s="109" t="s">
        <v>365</v>
      </c>
      <c r="D63" s="83">
        <v>4.0</v>
      </c>
      <c r="E63" s="88" t="str">
        <f>HYPERLINK("https://docs.google.com/document/d/1ZgPpwP3WjMtL8-ZiOr-KXQqNFyPlX8wKeKxWOUqFLQM/edit?usp=sharing","07")</f>
        <v>07</v>
      </c>
      <c r="F63" s="100" t="s">
        <v>360</v>
      </c>
      <c r="G63" s="90" t="s">
        <v>314</v>
      </c>
      <c r="H63" s="100" t="s">
        <v>314</v>
      </c>
      <c r="I63" s="92" t="s">
        <v>315</v>
      </c>
      <c r="J63" s="93" t="s">
        <v>38</v>
      </c>
      <c r="K63" s="109" t="s">
        <v>37</v>
      </c>
      <c r="L63" s="101" t="s">
        <v>364</v>
      </c>
    </row>
    <row r="64">
      <c r="A64" s="86"/>
      <c r="B64" s="86"/>
      <c r="C64" s="86"/>
      <c r="D64" s="86"/>
      <c r="E64" s="106" t="str">
        <f>HYPERLINK("https://docs.google.com/document/d/11czcsdsM9l3W05sxxQ0xqLX_UeeLynvjbR373Zg_Q14/edit?usp=sharing","08")</f>
        <v>08</v>
      </c>
      <c r="F64" s="91" t="s">
        <v>361</v>
      </c>
      <c r="G64" s="108" t="s">
        <v>315</v>
      </c>
      <c r="H64" s="91" t="s">
        <v>314</v>
      </c>
      <c r="I64" s="105" t="s">
        <v>315</v>
      </c>
      <c r="J64" s="102"/>
      <c r="K64" s="86"/>
      <c r="L64" s="86"/>
    </row>
    <row r="65">
      <c r="A65" s="86"/>
      <c r="B65" s="86"/>
      <c r="C65" s="86"/>
      <c r="D65" s="86"/>
      <c r="E65" s="106" t="str">
        <f>HYPERLINK("https://docs.google.com/document/d/1bV5rdPiMTzNmB0GSWyD6ltYhg5Z-a1u6fpHFURVTqBs/edit?usp=sharing","09")</f>
        <v>09</v>
      </c>
      <c r="F65" s="91"/>
      <c r="G65" s="108" t="s">
        <v>314</v>
      </c>
      <c r="H65" s="91" t="s">
        <v>314</v>
      </c>
      <c r="I65" s="105" t="s">
        <v>315</v>
      </c>
      <c r="J65" s="102"/>
      <c r="K65" s="86"/>
      <c r="L65" s="86"/>
    </row>
    <row r="66">
      <c r="A66" s="86"/>
      <c r="B66" s="86"/>
      <c r="C66" s="7"/>
      <c r="D66" s="7"/>
      <c r="E66" s="96" t="str">
        <f>HYPERLINK("https://docs.google.com/document/d/1Z0_06OkrpnLCzT_0iun6ZXtHYSdIhwRr7YKrJ1F4XN4/edit?usp=sharing","11")</f>
        <v>11</v>
      </c>
      <c r="F66" s="104" t="s">
        <v>357</v>
      </c>
      <c r="G66" s="98" t="s">
        <v>314</v>
      </c>
      <c r="H66" s="104" t="s">
        <v>315</v>
      </c>
      <c r="I66" s="36" t="s">
        <v>315</v>
      </c>
      <c r="J66" s="99"/>
      <c r="K66" s="7"/>
      <c r="L66" s="7"/>
    </row>
    <row r="67">
      <c r="A67" s="7"/>
      <c r="B67" s="7"/>
      <c r="C67" s="104" t="s">
        <v>225</v>
      </c>
      <c r="D67" s="10">
        <v>1.0</v>
      </c>
      <c r="E67" s="84" t="str">
        <f>HYPERLINK("https://docs.google.com/document/d/18RLuLT6tiSOIv4w4UKurlFi4wxDgc675RW3zkWLtRGo/edit?usp=sharing","02")</f>
        <v>02</v>
      </c>
      <c r="F67" s="10"/>
      <c r="G67" s="103" t="s">
        <v>315</v>
      </c>
      <c r="H67" s="10" t="s">
        <v>315</v>
      </c>
      <c r="I67" s="43" t="s">
        <v>314</v>
      </c>
      <c r="J67" s="43" t="s">
        <v>25</v>
      </c>
      <c r="K67" s="104" t="s">
        <v>24</v>
      </c>
      <c r="L67" s="74"/>
    </row>
    <row r="68">
      <c r="A68" s="82" t="str">
        <f>HYPERLINK("https://docs.google.com/spreadsheets/d/1hg_GT4r2smQsgkwEYBqHOukVavnNSyncsyfceWDpOho/edit?usp=sharing","8")</f>
        <v>8</v>
      </c>
      <c r="B68" s="83">
        <v>13.0</v>
      </c>
      <c r="C68" s="83" t="s">
        <v>283</v>
      </c>
      <c r="D68" s="83">
        <v>2.0</v>
      </c>
      <c r="E68" s="88" t="str">
        <f>HYPERLINK("https://docs.google.com/document/d/1C9QppTXv6I1ShmtbBz71CrU8k_VhBgAIw_Xi0mWjGbI/edit?usp=sharing","02")</f>
        <v>02</v>
      </c>
      <c r="F68" s="89"/>
      <c r="G68" s="90" t="s">
        <v>314</v>
      </c>
      <c r="H68" s="100" t="s">
        <v>315</v>
      </c>
      <c r="I68" s="92" t="s">
        <v>314</v>
      </c>
      <c r="J68" s="92" t="s">
        <v>91</v>
      </c>
      <c r="K68" s="100" t="s">
        <v>60</v>
      </c>
      <c r="L68" s="111" t="s">
        <v>366</v>
      </c>
    </row>
    <row r="69">
      <c r="A69" s="86"/>
      <c r="B69" s="86"/>
      <c r="C69" s="7"/>
      <c r="D69" s="7"/>
      <c r="E69" s="96" t="str">
        <f t="shared" ref="E69:E70" si="4">HYPERLINK("https://docs.google.com/document/d/1YeSXuITjiQ9pPWLkLU5NdKUq41kql9Aedl-4yRxQTt0/edit?usp=sharing","04")</f>
        <v>04</v>
      </c>
      <c r="F69" s="97"/>
      <c r="G69" s="98" t="s">
        <v>315</v>
      </c>
      <c r="H69" s="104" t="s">
        <v>314</v>
      </c>
      <c r="I69" s="36" t="s">
        <v>315</v>
      </c>
      <c r="J69" s="99"/>
      <c r="K69" s="7"/>
      <c r="L69" s="7"/>
    </row>
    <row r="70">
      <c r="A70" s="86"/>
      <c r="B70" s="86"/>
      <c r="C70" s="121" t="s">
        <v>188</v>
      </c>
      <c r="D70" s="121">
        <v>1.0</v>
      </c>
      <c r="E70" s="84" t="str">
        <f t="shared" si="4"/>
        <v>04</v>
      </c>
      <c r="F70" s="27"/>
      <c r="G70" s="103" t="s">
        <v>314</v>
      </c>
      <c r="H70" s="10" t="s">
        <v>315</v>
      </c>
      <c r="I70" s="36" t="s">
        <v>314</v>
      </c>
      <c r="J70" s="10" t="s">
        <v>105</v>
      </c>
      <c r="K70" s="10" t="s">
        <v>60</v>
      </c>
      <c r="L70" s="85"/>
    </row>
    <row r="71">
      <c r="A71" s="86"/>
      <c r="B71" s="86"/>
      <c r="C71" s="121" t="s">
        <v>244</v>
      </c>
      <c r="D71" s="121">
        <v>1.0</v>
      </c>
      <c r="E71" s="84" t="str">
        <f t="shared" ref="E71:E72" si="5">HYPERLINK("https://docs.google.com/document/d/12p7YF-1QaS_FMuILy_LRZzAxn7rMRIqEJrtW397Z5a8/edit?usp=sharing","05")</f>
        <v>05</v>
      </c>
      <c r="F71" s="10" t="s">
        <v>367</v>
      </c>
      <c r="G71" s="103" t="s">
        <v>315</v>
      </c>
      <c r="H71" s="10" t="s">
        <v>314</v>
      </c>
      <c r="I71" s="92" t="s">
        <v>315</v>
      </c>
      <c r="J71" s="10" t="s">
        <v>83</v>
      </c>
      <c r="K71" s="10" t="s">
        <v>84</v>
      </c>
      <c r="L71" s="85"/>
    </row>
    <row r="72">
      <c r="A72" s="86"/>
      <c r="B72" s="86"/>
      <c r="C72" s="83" t="s">
        <v>155</v>
      </c>
      <c r="D72" s="83">
        <v>3.0</v>
      </c>
      <c r="E72" s="88" t="str">
        <f t="shared" si="5"/>
        <v>05</v>
      </c>
      <c r="F72" s="100" t="s">
        <v>367</v>
      </c>
      <c r="G72" s="90" t="s">
        <v>315</v>
      </c>
      <c r="H72" s="91" t="s">
        <v>315</v>
      </c>
      <c r="I72" s="92" t="s">
        <v>314</v>
      </c>
      <c r="J72" s="93" t="s">
        <v>66</v>
      </c>
      <c r="K72" s="83" t="s">
        <v>43</v>
      </c>
      <c r="L72" s="101" t="s">
        <v>340</v>
      </c>
    </row>
    <row r="73">
      <c r="A73" s="86"/>
      <c r="B73" s="86"/>
      <c r="C73" s="86"/>
      <c r="D73" s="86"/>
      <c r="E73" s="106" t="str">
        <f>HYPERLINK("https://docs.google.com/document/d/1hBbSHcM7zHMszlo_XPP-xXksjWhC9P8gGEaNv5wfpGU/edit?usp=sharing","11")</f>
        <v>11</v>
      </c>
      <c r="F73" s="91" t="s">
        <v>9</v>
      </c>
      <c r="G73" s="108" t="s">
        <v>314</v>
      </c>
      <c r="H73" s="91" t="s">
        <v>314</v>
      </c>
      <c r="I73" s="105" t="s">
        <v>315</v>
      </c>
      <c r="J73" s="102"/>
      <c r="K73" s="86"/>
      <c r="L73" s="86"/>
    </row>
    <row r="74">
      <c r="A74" s="86"/>
      <c r="B74" s="86"/>
      <c r="C74" s="7"/>
      <c r="D74" s="7"/>
      <c r="E74" s="96" t="str">
        <f>HYPERLINK("https://docs.google.com/document/d/1m4Xd3b_n2KHRdzKNjA6BwIlSoE40ntAshnVlHAKpuE0/edit?usp=sharing","12")</f>
        <v>12</v>
      </c>
      <c r="F74" s="97"/>
      <c r="G74" s="98" t="s">
        <v>315</v>
      </c>
      <c r="H74" s="91" t="s">
        <v>314</v>
      </c>
      <c r="I74" s="36" t="s">
        <v>315</v>
      </c>
      <c r="J74" s="99"/>
      <c r="K74" s="7"/>
      <c r="L74" s="7"/>
    </row>
    <row r="75">
      <c r="A75" s="86"/>
      <c r="B75" s="86"/>
      <c r="C75" s="83" t="s">
        <v>274</v>
      </c>
      <c r="D75" s="83">
        <v>2.0</v>
      </c>
      <c r="E75" s="88" t="str">
        <f>HYPERLINK("https://docs.google.com/document/d/1_iwq5p8_MVexktDArAKiCblZaM_IbixdrnpxSOzjqT4/edit?usp=sharing","08")</f>
        <v>08</v>
      </c>
      <c r="F75" s="89"/>
      <c r="G75" s="90" t="s">
        <v>314</v>
      </c>
      <c r="H75" s="100" t="s">
        <v>314</v>
      </c>
      <c r="I75" s="105" t="s">
        <v>315</v>
      </c>
      <c r="J75" s="93" t="s">
        <v>56</v>
      </c>
      <c r="K75" s="83" t="s">
        <v>58</v>
      </c>
      <c r="L75" s="122"/>
    </row>
    <row r="76">
      <c r="A76" s="86"/>
      <c r="B76" s="86"/>
      <c r="C76" s="7"/>
      <c r="D76" s="7"/>
      <c r="E76" s="96" t="str">
        <f>HYPERLINK("https://docs.google.com/document/d/1hBbSHcM7zHMszlo_XPP-xXksjWhC9P8gGEaNv5wfpGU/edit?usp=sharing","11")</f>
        <v>11</v>
      </c>
      <c r="F76" s="104" t="s">
        <v>9</v>
      </c>
      <c r="G76" s="98" t="s">
        <v>314</v>
      </c>
      <c r="H76" s="104" t="s">
        <v>314</v>
      </c>
      <c r="I76" s="36" t="s">
        <v>315</v>
      </c>
      <c r="J76" s="99"/>
      <c r="K76" s="7"/>
      <c r="L76" s="7"/>
    </row>
    <row r="77">
      <c r="A77" s="86"/>
      <c r="B77" s="86"/>
      <c r="C77" s="109" t="s">
        <v>290</v>
      </c>
      <c r="D77" s="109">
        <v>1.0</v>
      </c>
      <c r="E77" s="106" t="str">
        <f>HYPERLINK("https://docs.google.com/document/d/1_iwq5p8_MVexktDArAKiCblZaM_IbixdrnpxSOzjqT4/edit?usp=sharing","08")</f>
        <v>08</v>
      </c>
      <c r="F77" s="107"/>
      <c r="G77" s="108" t="s">
        <v>315</v>
      </c>
      <c r="H77" s="91" t="s">
        <v>315</v>
      </c>
      <c r="I77" s="105" t="s">
        <v>314</v>
      </c>
      <c r="J77" s="109" t="s">
        <v>70</v>
      </c>
      <c r="K77" s="109" t="s">
        <v>46</v>
      </c>
      <c r="L77" s="123"/>
    </row>
    <row r="78">
      <c r="A78" s="86"/>
      <c r="B78" s="86"/>
      <c r="C78" s="83" t="s">
        <v>216</v>
      </c>
      <c r="D78" s="83">
        <v>2.0</v>
      </c>
      <c r="E78" s="88" t="str">
        <f>HYPERLINK("https://docs.google.com/document/d/19pCkMrTuZAO9tAM5AA4r1JflCO3Jh7Ns9fOoDPMSvDk/edit?usp=sharing","03")</f>
        <v>03</v>
      </c>
      <c r="F78" s="100" t="s">
        <v>368</v>
      </c>
      <c r="G78" s="90" t="s">
        <v>315</v>
      </c>
      <c r="H78" s="100" t="s">
        <v>334</v>
      </c>
      <c r="I78" s="92" t="s">
        <v>334</v>
      </c>
      <c r="J78" s="93" t="s">
        <v>34</v>
      </c>
      <c r="K78" s="83" t="s">
        <v>24</v>
      </c>
      <c r="L78" s="122"/>
    </row>
    <row r="79">
      <c r="A79" s="86"/>
      <c r="B79" s="86"/>
      <c r="C79" s="7"/>
      <c r="D79" s="7"/>
      <c r="E79" s="96" t="str">
        <f>HYPERLINK("https://docs.google.com/document/d/1DkK70frgvbp-Fp3sbqFCtwQtqLDeVk3isKZ2c2x2aIc/edit?usp=sharing","06")</f>
        <v>06</v>
      </c>
      <c r="F79" s="104" t="s">
        <v>369</v>
      </c>
      <c r="G79" s="98" t="s">
        <v>314</v>
      </c>
      <c r="H79" s="104" t="s">
        <v>334</v>
      </c>
      <c r="I79" s="36" t="s">
        <v>334</v>
      </c>
      <c r="J79" s="99"/>
      <c r="K79" s="7"/>
      <c r="L79" s="7"/>
    </row>
    <row r="80">
      <c r="A80" s="7"/>
      <c r="B80" s="7"/>
      <c r="C80" s="124" t="s">
        <v>158</v>
      </c>
      <c r="D80" s="121">
        <v>1.0</v>
      </c>
      <c r="E80" s="84" t="str">
        <f>HYPERLINK("https://docs.google.com/document/d/1C9QppTXv6I1ShmtbBz71CrU8k_VhBgAIw_Xi0mWjGbI/edit?usp=sharing","02")</f>
        <v>02</v>
      </c>
      <c r="F80" s="27"/>
      <c r="G80" s="103" t="s">
        <v>314</v>
      </c>
      <c r="H80" s="10" t="s">
        <v>315</v>
      </c>
      <c r="I80" s="43" t="s">
        <v>314</v>
      </c>
      <c r="J80" s="124" t="s">
        <v>29</v>
      </c>
      <c r="K80" s="124" t="s">
        <v>28</v>
      </c>
      <c r="L80" s="125"/>
    </row>
    <row r="81">
      <c r="A81" s="82" t="str">
        <f>HYPERLINK("https://docs.google.com/spreadsheets/d/1yi_HtvN4TS5uRWCCFJg5RFaoouiIIe8CAtY_XnqP6iM/edit?usp=sharing","9")</f>
        <v>9</v>
      </c>
      <c r="B81" s="83">
        <v>20.0</v>
      </c>
      <c r="C81" s="109" t="s">
        <v>370</v>
      </c>
      <c r="D81" s="83">
        <v>2.0</v>
      </c>
      <c r="E81" s="88" t="str">
        <f>HYPERLINK("https://docs.google.com/document/d/1lGjesH-bg5IUiVx1IrnIQMSB9Hl0rL-UCqf3_oJL-W8/edit?usp=sharing","02")</f>
        <v>02</v>
      </c>
      <c r="F81" s="89"/>
      <c r="G81" s="100" t="s">
        <v>314</v>
      </c>
      <c r="H81" s="92" t="s">
        <v>315</v>
      </c>
      <c r="I81" s="92" t="s">
        <v>314</v>
      </c>
      <c r="J81" s="83" t="s">
        <v>114</v>
      </c>
      <c r="K81" s="109" t="s">
        <v>60</v>
      </c>
      <c r="L81" s="126" t="s">
        <v>340</v>
      </c>
    </row>
    <row r="82">
      <c r="A82" s="86"/>
      <c r="B82" s="86"/>
      <c r="C82" s="7"/>
      <c r="D82" s="7"/>
      <c r="E82" s="96" t="str">
        <f t="shared" ref="E82:E83" si="6">HYPERLINK("https://docs.google.com/document/d/14u2iOJvEbvbFdglTWZmK6l-ctOd02DEuIZEPlW3z1T4/edit?usp=sharing","03")</f>
        <v>03</v>
      </c>
      <c r="F82" s="104" t="s">
        <v>371</v>
      </c>
      <c r="G82" s="104" t="s">
        <v>315</v>
      </c>
      <c r="H82" s="36" t="s">
        <v>314</v>
      </c>
      <c r="I82" s="36" t="s">
        <v>315</v>
      </c>
      <c r="J82" s="7"/>
      <c r="K82" s="7"/>
      <c r="L82" s="7"/>
    </row>
    <row r="83">
      <c r="A83" s="86"/>
      <c r="B83" s="86"/>
      <c r="C83" s="124" t="s">
        <v>372</v>
      </c>
      <c r="D83" s="121">
        <v>1.0</v>
      </c>
      <c r="E83" s="84" t="str">
        <f t="shared" si="6"/>
        <v>03</v>
      </c>
      <c r="F83" s="10" t="s">
        <v>371</v>
      </c>
      <c r="G83" s="10" t="s">
        <v>315</v>
      </c>
      <c r="H83" s="43" t="s">
        <v>314</v>
      </c>
      <c r="I83" s="43" t="s">
        <v>315</v>
      </c>
      <c r="J83" s="121" t="s">
        <v>91</v>
      </c>
      <c r="K83" s="124" t="s">
        <v>60</v>
      </c>
      <c r="L83" s="125"/>
    </row>
    <row r="84">
      <c r="A84" s="86"/>
      <c r="B84" s="86"/>
      <c r="C84" s="124" t="s">
        <v>373</v>
      </c>
      <c r="D84" s="124">
        <v>1.0</v>
      </c>
      <c r="E84" s="84" t="str">
        <f t="shared" ref="E84:E85" si="7">HYPERLINK("https://docs.google.com/document/d/1lGjesH-bg5IUiVx1IrnIQMSB9Hl0rL-UCqf3_oJL-W8/edit?usp=sharing","02")</f>
        <v>02</v>
      </c>
      <c r="F84" s="27"/>
      <c r="G84" s="10" t="s">
        <v>315</v>
      </c>
      <c r="H84" s="43" t="s">
        <v>314</v>
      </c>
      <c r="I84" s="43" t="s">
        <v>315</v>
      </c>
      <c r="J84" s="121" t="s">
        <v>105</v>
      </c>
      <c r="K84" s="124" t="s">
        <v>60</v>
      </c>
      <c r="L84" s="125"/>
    </row>
    <row r="85">
      <c r="A85" s="86"/>
      <c r="B85" s="86"/>
      <c r="C85" s="109" t="s">
        <v>374</v>
      </c>
      <c r="D85" s="83">
        <v>2.0</v>
      </c>
      <c r="E85" s="88" t="str">
        <f t="shared" si="7"/>
        <v>02</v>
      </c>
      <c r="F85" s="89"/>
      <c r="G85" s="100" t="s">
        <v>314</v>
      </c>
      <c r="H85" s="92" t="s">
        <v>315</v>
      </c>
      <c r="I85" s="92" t="s">
        <v>314</v>
      </c>
      <c r="J85" s="83" t="s">
        <v>85</v>
      </c>
      <c r="K85" s="83" t="s">
        <v>60</v>
      </c>
      <c r="L85" s="123"/>
    </row>
    <row r="86">
      <c r="A86" s="86"/>
      <c r="B86" s="86"/>
      <c r="C86" s="7"/>
      <c r="D86" s="7"/>
      <c r="E86" s="96" t="str">
        <f>HYPERLINK("https://docs.google.com/document/d/1DijRGKvTHFmHR4SP9WygE9oL4VIrqMTGGlQosreIK20/edit?usp=sharing","06")</f>
        <v>06</v>
      </c>
      <c r="F86" s="97"/>
      <c r="G86" s="104" t="s">
        <v>315</v>
      </c>
      <c r="H86" s="36" t="s">
        <v>315</v>
      </c>
      <c r="I86" s="36" t="s">
        <v>314</v>
      </c>
      <c r="J86" s="7"/>
      <c r="K86" s="7"/>
      <c r="L86" s="7"/>
    </row>
    <row r="87">
      <c r="A87" s="86"/>
      <c r="B87" s="86"/>
      <c r="C87" s="124" t="s">
        <v>375</v>
      </c>
      <c r="D87" s="121">
        <v>1.0</v>
      </c>
      <c r="E87" s="84" t="str">
        <f>HYPERLINK("https://docs.google.com/document/d/1lGjesH-bg5IUiVx1IrnIQMSB9Hl0rL-UCqf3_oJL-W8/edit?usp=sharing","02")</f>
        <v>02</v>
      </c>
      <c r="F87" s="27"/>
      <c r="G87" s="10" t="s">
        <v>314</v>
      </c>
      <c r="H87" s="43" t="s">
        <v>315</v>
      </c>
      <c r="I87" s="43" t="s">
        <v>314</v>
      </c>
      <c r="J87" s="121" t="s">
        <v>83</v>
      </c>
      <c r="K87" s="124" t="s">
        <v>84</v>
      </c>
      <c r="L87" s="125"/>
    </row>
    <row r="88">
      <c r="A88" s="86"/>
      <c r="B88" s="86"/>
      <c r="C88" s="109" t="s">
        <v>376</v>
      </c>
      <c r="D88" s="83">
        <v>2.0</v>
      </c>
      <c r="E88" s="88" t="str">
        <f>HYPERLINK("https://docs.google.com/document/d/14u2iOJvEbvbFdglTWZmK6l-ctOd02DEuIZEPlW3z1T4/edit?usp=sharing","03")</f>
        <v>03</v>
      </c>
      <c r="F88" s="100" t="s">
        <v>371</v>
      </c>
      <c r="G88" s="100" t="s">
        <v>315</v>
      </c>
      <c r="H88" s="92" t="s">
        <v>314</v>
      </c>
      <c r="I88" s="92" t="s">
        <v>315</v>
      </c>
      <c r="J88" s="83" t="s">
        <v>47</v>
      </c>
      <c r="K88" s="109" t="s">
        <v>48</v>
      </c>
      <c r="L88" s="123"/>
    </row>
    <row r="89">
      <c r="A89" s="86"/>
      <c r="B89" s="86"/>
      <c r="C89" s="7"/>
      <c r="D89" s="7"/>
      <c r="E89" s="96" t="str">
        <f>HYPERLINK("https://docs.google.com/document/d/1x4en9niTdDfvvBE9OdpaOAgRSE04bVNaNnIkMkN7gDs/edit?usp=sharing","09")</f>
        <v>09</v>
      </c>
      <c r="F89" s="97"/>
      <c r="G89" s="104" t="s">
        <v>314</v>
      </c>
      <c r="H89" s="36" t="s">
        <v>314</v>
      </c>
      <c r="I89" s="36" t="s">
        <v>315</v>
      </c>
      <c r="J89" s="7"/>
      <c r="K89" s="7"/>
      <c r="L89" s="7"/>
    </row>
    <row r="90">
      <c r="A90" s="86"/>
      <c r="B90" s="86"/>
      <c r="C90" s="124" t="s">
        <v>377</v>
      </c>
      <c r="D90" s="121">
        <v>1.0</v>
      </c>
      <c r="E90" s="84" t="str">
        <f>HYPERLINK("https://docs.google.com/document/d/1PJ1JNlT8vzf_yJSxVcLLZ2fdKAE0ZZLWWc1C00pfkBE/edit?usp=sharing","08")</f>
        <v>08</v>
      </c>
      <c r="F90" s="10" t="s">
        <v>9</v>
      </c>
      <c r="G90" s="10" t="s">
        <v>315</v>
      </c>
      <c r="H90" s="43" t="s">
        <v>314</v>
      </c>
      <c r="I90" s="43" t="s">
        <v>315</v>
      </c>
      <c r="J90" s="121" t="s">
        <v>66</v>
      </c>
      <c r="K90" s="124" t="s">
        <v>43</v>
      </c>
      <c r="L90" s="125"/>
    </row>
    <row r="91">
      <c r="A91" s="86"/>
      <c r="B91" s="86"/>
      <c r="C91" s="124" t="s">
        <v>160</v>
      </c>
      <c r="D91" s="121">
        <v>1.0</v>
      </c>
      <c r="E91" s="84" t="str">
        <f t="shared" ref="E91:E92" si="8">HYPERLINK("https://docs.google.com/document/d/14u2iOJvEbvbFdglTWZmK6l-ctOd02DEuIZEPlW3z1T4/edit?usp=sharing","03")</f>
        <v>03</v>
      </c>
      <c r="F91" s="10" t="s">
        <v>371</v>
      </c>
      <c r="G91" s="10" t="s">
        <v>314</v>
      </c>
      <c r="H91" s="43" t="s">
        <v>315</v>
      </c>
      <c r="I91" s="43" t="s">
        <v>315</v>
      </c>
      <c r="J91" s="121" t="s">
        <v>56</v>
      </c>
      <c r="K91" s="124" t="s">
        <v>58</v>
      </c>
      <c r="L91" s="125"/>
    </row>
    <row r="92">
      <c r="A92" s="86"/>
      <c r="B92" s="86"/>
      <c r="C92" s="109" t="s">
        <v>378</v>
      </c>
      <c r="D92" s="83">
        <v>3.0</v>
      </c>
      <c r="E92" s="88" t="str">
        <f t="shared" si="8"/>
        <v>03</v>
      </c>
      <c r="F92" s="100" t="s">
        <v>371</v>
      </c>
      <c r="G92" s="100" t="s">
        <v>314</v>
      </c>
      <c r="H92" s="92" t="s">
        <v>314</v>
      </c>
      <c r="I92" s="92" t="s">
        <v>315</v>
      </c>
      <c r="J92" s="83" t="s">
        <v>70</v>
      </c>
      <c r="K92" s="109" t="s">
        <v>46</v>
      </c>
      <c r="L92" s="126" t="s">
        <v>340</v>
      </c>
    </row>
    <row r="93">
      <c r="A93" s="86"/>
      <c r="B93" s="86"/>
      <c r="C93" s="86"/>
      <c r="D93" s="86"/>
      <c r="E93" s="106" t="str">
        <f>HYPERLINK("https://docs.google.com/document/d/1dxCWImA9LBcUsbDs3on8k76Y4DhJ3K_uNOd0Edl1LVM/edit?usp=sharing","10")</f>
        <v>10</v>
      </c>
      <c r="F93" s="107"/>
      <c r="G93" s="91" t="s">
        <v>314</v>
      </c>
      <c r="H93" s="105" t="s">
        <v>314</v>
      </c>
      <c r="I93" s="105" t="s">
        <v>315</v>
      </c>
      <c r="J93" s="86"/>
      <c r="K93" s="86"/>
      <c r="L93" s="86"/>
    </row>
    <row r="94">
      <c r="A94" s="86"/>
      <c r="B94" s="86"/>
      <c r="C94" s="7"/>
      <c r="D94" s="7"/>
      <c r="E94" s="96" t="str">
        <f>HYPERLINK("https://docs.google.com/document/d/1W3GCghG7pLnFLEMzCLh3rS9lSEJMgLzl7Co1VJW2gFo/edit?usp=sharing","11")</f>
        <v>11</v>
      </c>
      <c r="F94" s="104" t="s">
        <v>357</v>
      </c>
      <c r="G94" s="104" t="s">
        <v>314</v>
      </c>
      <c r="H94" s="36" t="s">
        <v>314</v>
      </c>
      <c r="I94" s="36" t="s">
        <v>315</v>
      </c>
      <c r="J94" s="7"/>
      <c r="K94" s="7"/>
      <c r="L94" s="7"/>
    </row>
    <row r="95">
      <c r="A95" s="86"/>
      <c r="B95" s="86"/>
      <c r="C95" s="124" t="s">
        <v>202</v>
      </c>
      <c r="D95" s="121">
        <v>1.0</v>
      </c>
      <c r="E95" s="84" t="str">
        <f>HYPERLINK("https://docs.google.com/document/d/1DijRGKvTHFmHR4SP9WygE9oL4VIrqMTGGlQosreIK20/edit?usp=sharing","06")</f>
        <v>06</v>
      </c>
      <c r="F95" s="27"/>
      <c r="G95" s="10" t="s">
        <v>314</v>
      </c>
      <c r="H95" s="43" t="s">
        <v>314</v>
      </c>
      <c r="I95" s="43" t="s">
        <v>315</v>
      </c>
      <c r="J95" s="121" t="s">
        <v>41</v>
      </c>
      <c r="K95" s="124" t="s">
        <v>37</v>
      </c>
      <c r="L95" s="125"/>
    </row>
    <row r="96">
      <c r="A96" s="86"/>
      <c r="B96" s="86"/>
      <c r="C96" s="109" t="s">
        <v>379</v>
      </c>
      <c r="D96" s="83">
        <v>3.0</v>
      </c>
      <c r="E96" s="88" t="str">
        <f>HYPERLINK("https://docs.google.com/document/d/14u2iOJvEbvbFdglTWZmK6l-ctOd02DEuIZEPlW3z1T4/edit?usp=sharing","03")</f>
        <v>03</v>
      </c>
      <c r="F96" s="100" t="s">
        <v>371</v>
      </c>
      <c r="G96" s="100" t="s">
        <v>314</v>
      </c>
      <c r="H96" s="92" t="s">
        <v>314</v>
      </c>
      <c r="I96" s="92" t="s">
        <v>315</v>
      </c>
      <c r="J96" s="83" t="s">
        <v>34</v>
      </c>
      <c r="K96" s="109" t="s">
        <v>24</v>
      </c>
      <c r="L96" s="123"/>
    </row>
    <row r="97">
      <c r="A97" s="86"/>
      <c r="B97" s="86"/>
      <c r="C97" s="86"/>
      <c r="D97" s="86"/>
      <c r="E97" s="106" t="str">
        <f>HYPERLINK("https://docs.google.com/document/d/1RRQUaFkxiI4H8ysVVsTvZdoMYaU_Yo7Mxn62OS5ODho/edit?usp=sharing","05")</f>
        <v>05</v>
      </c>
      <c r="F97" s="91" t="s">
        <v>380</v>
      </c>
      <c r="G97" s="91" t="s">
        <v>314</v>
      </c>
      <c r="H97" s="105" t="s">
        <v>314</v>
      </c>
      <c r="I97" s="105" t="s">
        <v>315</v>
      </c>
      <c r="J97" s="86"/>
      <c r="K97" s="86"/>
      <c r="L97" s="86"/>
    </row>
    <row r="98">
      <c r="A98" s="86"/>
      <c r="B98" s="86"/>
      <c r="C98" s="7"/>
      <c r="D98" s="7"/>
      <c r="E98" s="96" t="str">
        <f>HYPERLINK("https://docs.google.com/document/d/1sKzd4MfeB8Gg7L3jBDaKmj-At6-lgMwHxsWDsKJjtjg/edit?usp=sharing","13")</f>
        <v>13</v>
      </c>
      <c r="F98" s="97"/>
      <c r="G98" s="104" t="s">
        <v>314</v>
      </c>
      <c r="H98" s="36" t="s">
        <v>314</v>
      </c>
      <c r="I98" s="36" t="s">
        <v>315</v>
      </c>
      <c r="J98" s="7"/>
      <c r="K98" s="7"/>
      <c r="L98" s="7"/>
    </row>
    <row r="99">
      <c r="A99" s="86"/>
      <c r="B99" s="86"/>
      <c r="C99" s="109" t="s">
        <v>381</v>
      </c>
      <c r="D99" s="83">
        <v>2.0</v>
      </c>
      <c r="E99" s="88" t="str">
        <f>HYPERLINK("https://docs.google.com/document/d/14u2iOJvEbvbFdglTWZmK6l-ctOd02DEuIZEPlW3z1T4/edit?usp=sharing","03")</f>
        <v>03</v>
      </c>
      <c r="F99" s="100" t="s">
        <v>371</v>
      </c>
      <c r="G99" s="100" t="s">
        <v>315</v>
      </c>
      <c r="H99" s="92" t="s">
        <v>314</v>
      </c>
      <c r="I99" s="92" t="s">
        <v>315</v>
      </c>
      <c r="J99" s="83" t="s">
        <v>29</v>
      </c>
      <c r="K99" s="109" t="s">
        <v>28</v>
      </c>
      <c r="L99" s="123"/>
    </row>
    <row r="100">
      <c r="A100" s="7"/>
      <c r="B100" s="7"/>
      <c r="C100" s="7"/>
      <c r="D100" s="7"/>
      <c r="E100" s="96" t="str">
        <f>HYPERLINK("https://docs.google.com/document/d/1RRQUaFkxiI4H8ysVVsTvZdoMYaU_Yo7Mxn62OS5ODho/edit?usp=sharing","05")</f>
        <v>05</v>
      </c>
      <c r="F100" s="104" t="s">
        <v>380</v>
      </c>
      <c r="G100" s="104" t="s">
        <v>315</v>
      </c>
      <c r="H100" s="36" t="s">
        <v>315</v>
      </c>
      <c r="I100" s="36" t="s">
        <v>314</v>
      </c>
      <c r="J100" s="7"/>
      <c r="K100" s="7"/>
      <c r="L100" s="7"/>
    </row>
    <row r="101">
      <c r="A101" s="82" t="str">
        <f>HYPERLINK("https://docs.google.com/spreadsheets/d/1d8Hzm_QCJnDef8NF_dVYBZLjLjFI3Fl8Yt14m8Zhn8Y/edit?usp=sharing","10")</f>
        <v>10</v>
      </c>
      <c r="B101" s="83">
        <v>24.0</v>
      </c>
      <c r="C101" s="121" t="s">
        <v>382</v>
      </c>
      <c r="D101" s="121">
        <v>1.0</v>
      </c>
      <c r="E101" s="84" t="str">
        <f t="shared" ref="E101:E102" si="9">HYPERLINK("https://docs.google.com/document/d/1cTyvYQB3IeB8zIlW9uqZe0FGkCovy_r__PJ3cU9vwYY/edit?usp=sharing","01")</f>
        <v>01</v>
      </c>
      <c r="F101" s="10" t="s">
        <v>318</v>
      </c>
      <c r="G101" s="10" t="s">
        <v>314</v>
      </c>
      <c r="H101" s="10" t="s">
        <v>314</v>
      </c>
      <c r="I101" s="10" t="s">
        <v>315</v>
      </c>
      <c r="J101" s="121" t="s">
        <v>103</v>
      </c>
      <c r="K101" s="121" t="s">
        <v>60</v>
      </c>
      <c r="L101" s="127" t="s">
        <v>383</v>
      </c>
    </row>
    <row r="102">
      <c r="A102" s="86"/>
      <c r="B102" s="86"/>
      <c r="C102" s="124" t="s">
        <v>384</v>
      </c>
      <c r="D102" s="121">
        <v>1.0</v>
      </c>
      <c r="E102" s="84" t="str">
        <f t="shared" si="9"/>
        <v>01</v>
      </c>
      <c r="F102" s="10" t="s">
        <v>318</v>
      </c>
      <c r="G102" s="10" t="s">
        <v>314</v>
      </c>
      <c r="H102" s="10" t="s">
        <v>314</v>
      </c>
      <c r="I102" s="10" t="s">
        <v>315</v>
      </c>
      <c r="J102" s="121" t="s">
        <v>112</v>
      </c>
      <c r="K102" s="121" t="s">
        <v>60</v>
      </c>
      <c r="L102" s="127" t="s">
        <v>383</v>
      </c>
    </row>
    <row r="103">
      <c r="A103" s="86"/>
      <c r="B103" s="86"/>
      <c r="C103" s="109" t="s">
        <v>385</v>
      </c>
      <c r="D103" s="83">
        <v>2.0</v>
      </c>
      <c r="E103" s="88" t="str">
        <f>HYPERLINK("https://docs.google.com/document/d/1nWnN_ChA1cnrDrpjlDgtrmWqUBfK-0dsOp4rplnrhC4/edit?usp=sharing","02")</f>
        <v>02</v>
      </c>
      <c r="F103" s="89"/>
      <c r="G103" s="100" t="s">
        <v>314</v>
      </c>
      <c r="H103" s="92" t="s">
        <v>315</v>
      </c>
      <c r="I103" s="92" t="s">
        <v>314</v>
      </c>
      <c r="J103" s="83" t="s">
        <v>111</v>
      </c>
      <c r="K103" s="109" t="s">
        <v>60</v>
      </c>
      <c r="L103" s="126" t="s">
        <v>340</v>
      </c>
    </row>
    <row r="104">
      <c r="A104" s="86"/>
      <c r="B104" s="86"/>
      <c r="C104" s="7"/>
      <c r="D104" s="7"/>
      <c r="E104" s="96" t="str">
        <f>HYPERLINK("https://docs.google.com/document/d/1yR0LWnFwOR9m_lfhO12HeT_JrpgwHqCJwBYsy00t8JQ/edit?usp=sharing","03")</f>
        <v>03</v>
      </c>
      <c r="F104" s="97"/>
      <c r="G104" s="104" t="s">
        <v>314</v>
      </c>
      <c r="H104" s="36" t="s">
        <v>315</v>
      </c>
      <c r="I104" s="36" t="s">
        <v>314</v>
      </c>
      <c r="J104" s="7"/>
      <c r="K104" s="7"/>
      <c r="L104" s="7"/>
    </row>
    <row r="105">
      <c r="A105" s="86"/>
      <c r="B105" s="86"/>
      <c r="C105" s="124" t="s">
        <v>386</v>
      </c>
      <c r="D105" s="121">
        <v>1.0</v>
      </c>
      <c r="E105" s="84" t="str">
        <f t="shared" ref="E105:E106" si="10">HYPERLINK("https://docs.google.com/document/d/1nWnN_ChA1cnrDrpjlDgtrmWqUBfK-0dsOp4rplnrhC4/edit?usp=sharing","02")</f>
        <v>02</v>
      </c>
      <c r="F105" s="27"/>
      <c r="G105" s="10" t="s">
        <v>315</v>
      </c>
      <c r="H105" s="10" t="s">
        <v>314</v>
      </c>
      <c r="I105" s="10" t="s">
        <v>315</v>
      </c>
      <c r="J105" s="121" t="s">
        <v>69</v>
      </c>
      <c r="K105" s="124" t="s">
        <v>60</v>
      </c>
      <c r="L105" s="125"/>
    </row>
    <row r="106">
      <c r="A106" s="86"/>
      <c r="B106" s="86"/>
      <c r="C106" s="124" t="s">
        <v>387</v>
      </c>
      <c r="D106" s="121">
        <v>1.0</v>
      </c>
      <c r="E106" s="84" t="str">
        <f t="shared" si="10"/>
        <v>02</v>
      </c>
      <c r="F106" s="27"/>
      <c r="G106" s="10" t="s">
        <v>314</v>
      </c>
      <c r="H106" s="10" t="s">
        <v>315</v>
      </c>
      <c r="I106" s="10" t="s">
        <v>314</v>
      </c>
      <c r="J106" s="121" t="s">
        <v>63</v>
      </c>
      <c r="K106" s="124" t="s">
        <v>84</v>
      </c>
      <c r="L106" s="125"/>
    </row>
    <row r="107">
      <c r="A107" s="86"/>
      <c r="B107" s="86"/>
      <c r="C107" s="109" t="s">
        <v>388</v>
      </c>
      <c r="D107" s="109">
        <v>5.0</v>
      </c>
      <c r="E107" s="88" t="str">
        <f>HYPERLINK("https://docs.google.com/document/d/1yR0LWnFwOR9m_lfhO12HeT_JrpgwHqCJwBYsy00t8JQ/edit?usp=sharing","03")</f>
        <v>03</v>
      </c>
      <c r="F107" s="89"/>
      <c r="G107" s="100" t="s">
        <v>314</v>
      </c>
      <c r="H107" s="92" t="s">
        <v>315</v>
      </c>
      <c r="I107" s="92" t="s">
        <v>314</v>
      </c>
      <c r="J107" s="109" t="s">
        <v>71</v>
      </c>
      <c r="K107" s="109" t="s">
        <v>48</v>
      </c>
      <c r="L107" s="126" t="s">
        <v>364</v>
      </c>
    </row>
    <row r="108">
      <c r="A108" s="86"/>
      <c r="B108" s="86"/>
      <c r="C108" s="86"/>
      <c r="D108" s="86"/>
      <c r="E108" s="106" t="str">
        <f>HYPERLINK("https://docs.google.com/document/d/1QbqomzFV0KJ44xGVaP2eJ2VE6yf-dErTudPUPizSyzY/edit?usp=sharing","04")</f>
        <v>04</v>
      </c>
      <c r="F108" s="107"/>
      <c r="G108" s="91" t="s">
        <v>315</v>
      </c>
      <c r="H108" s="105" t="s">
        <v>315</v>
      </c>
      <c r="I108" s="105" t="s">
        <v>314</v>
      </c>
      <c r="J108" s="86"/>
      <c r="K108" s="86"/>
      <c r="L108" s="86"/>
    </row>
    <row r="109">
      <c r="A109" s="86"/>
      <c r="B109" s="86"/>
      <c r="C109" s="86"/>
      <c r="D109" s="86"/>
      <c r="E109" s="106" t="str">
        <f>HYPERLINK("https://docs.google.com/document/d/1foz5MFDUpVHrc_y0jS4BkUrbrDSYuuhlNgvDKDWWlyE/edit?usp=sharing","05")</f>
        <v>05</v>
      </c>
      <c r="F109" s="91" t="s">
        <v>389</v>
      </c>
      <c r="G109" s="91" t="s">
        <v>315</v>
      </c>
      <c r="H109" s="105" t="s">
        <v>314</v>
      </c>
      <c r="I109" s="105" t="s">
        <v>315</v>
      </c>
      <c r="J109" s="86"/>
      <c r="K109" s="86"/>
      <c r="L109" s="86"/>
    </row>
    <row r="110">
      <c r="A110" s="86"/>
      <c r="B110" s="86"/>
      <c r="C110" s="86"/>
      <c r="D110" s="86"/>
      <c r="E110" s="106" t="str">
        <f>HYPERLINK("https://docs.google.com/document/d/12BlB3dDxJiYV8VaYidwTaVctT34dq0X22Uxl3XUN-DM/edit?usp=sharing","07")</f>
        <v>07</v>
      </c>
      <c r="F110" s="91"/>
      <c r="G110" s="91" t="s">
        <v>315</v>
      </c>
      <c r="H110" s="105" t="s">
        <v>315</v>
      </c>
      <c r="I110" s="105" t="s">
        <v>314</v>
      </c>
      <c r="J110" s="86"/>
      <c r="K110" s="86"/>
      <c r="L110" s="86"/>
    </row>
    <row r="111">
      <c r="A111" s="86"/>
      <c r="B111" s="86"/>
      <c r="C111" s="7"/>
      <c r="D111" s="7"/>
      <c r="E111" s="96" t="str">
        <f>HYPERLINK("https://docs.google.com/document/d/1EvHZas7WotwbWYEWBSj5cFsDtuNX5ypee408xXfE_PY/edit?usp=sharing","09")</f>
        <v>09</v>
      </c>
      <c r="F111" s="104" t="s">
        <v>9</v>
      </c>
      <c r="G111" s="104" t="s">
        <v>315</v>
      </c>
      <c r="H111" s="36" t="s">
        <v>314</v>
      </c>
      <c r="I111" s="36" t="s">
        <v>315</v>
      </c>
      <c r="J111" s="7"/>
      <c r="K111" s="7"/>
      <c r="L111" s="7"/>
    </row>
    <row r="112">
      <c r="A112" s="86"/>
      <c r="B112" s="86"/>
      <c r="C112" s="109" t="s">
        <v>390</v>
      </c>
      <c r="D112" s="83">
        <v>3.0</v>
      </c>
      <c r="E112" s="88" t="str">
        <f>HYPERLINK("https://docs.google.com/document/d/1nWnN_ChA1cnrDrpjlDgtrmWqUBfK-0dsOp4rplnrhC4/edit?usp=sharing","02")</f>
        <v>02</v>
      </c>
      <c r="F112" s="89"/>
      <c r="G112" s="100" t="s">
        <v>314</v>
      </c>
      <c r="H112" s="92" t="s">
        <v>315</v>
      </c>
      <c r="I112" s="92" t="s">
        <v>314</v>
      </c>
      <c r="J112" s="83" t="s">
        <v>65</v>
      </c>
      <c r="K112" s="109" t="s">
        <v>58</v>
      </c>
      <c r="L112" s="123"/>
    </row>
    <row r="113">
      <c r="A113" s="86"/>
      <c r="B113" s="86"/>
      <c r="C113" s="86"/>
      <c r="D113" s="86"/>
      <c r="E113" s="106" t="str">
        <f>HYPERLINK("https://docs.google.com/document/d/1c8CrVQDNIqVz3C29IjZqhr3LcN0OebCYgcKTuLMhW-g/edit?usp=sharing","06")</f>
        <v>06</v>
      </c>
      <c r="F113" s="107"/>
      <c r="G113" s="91" t="s">
        <v>314</v>
      </c>
      <c r="H113" s="105" t="s">
        <v>315</v>
      </c>
      <c r="I113" s="105" t="s">
        <v>314</v>
      </c>
      <c r="J113" s="86"/>
      <c r="K113" s="86"/>
      <c r="L113" s="86"/>
    </row>
    <row r="114">
      <c r="A114" s="86"/>
      <c r="B114" s="86"/>
      <c r="C114" s="7"/>
      <c r="D114" s="7"/>
      <c r="E114" s="96" t="str">
        <f>HYPERLINK("https://docs.google.com/document/d/11w6yBUjsu8V_XSpAhgfpyhn0Hy9_8uqNquAzY65hsGw/edit?usp=sharing","08")</f>
        <v>08</v>
      </c>
      <c r="F114" s="97"/>
      <c r="G114" s="104" t="s">
        <v>315</v>
      </c>
      <c r="H114" s="36" t="s">
        <v>315</v>
      </c>
      <c r="I114" s="36" t="s">
        <v>314</v>
      </c>
      <c r="J114" s="7"/>
      <c r="K114" s="7"/>
      <c r="L114" s="7"/>
    </row>
    <row r="115">
      <c r="A115" s="86"/>
      <c r="B115" s="86"/>
      <c r="C115" s="109" t="s">
        <v>391</v>
      </c>
      <c r="D115" s="83">
        <v>3.0</v>
      </c>
      <c r="E115" s="88" t="str">
        <f>HYPERLINK("https://docs.google.com/document/d/1foz5MFDUpVHrc_y0jS4BkUrbrDSYuuhlNgvDKDWWlyE/edit?usp=sharing","05")</f>
        <v>05</v>
      </c>
      <c r="F115" s="100" t="s">
        <v>389</v>
      </c>
      <c r="G115" s="100" t="s">
        <v>315</v>
      </c>
      <c r="H115" s="92" t="s">
        <v>314</v>
      </c>
      <c r="I115" s="92" t="s">
        <v>315</v>
      </c>
      <c r="J115" s="83" t="s">
        <v>67</v>
      </c>
      <c r="K115" s="109" t="s">
        <v>46</v>
      </c>
      <c r="L115" s="126" t="s">
        <v>340</v>
      </c>
    </row>
    <row r="116">
      <c r="A116" s="86"/>
      <c r="B116" s="86"/>
      <c r="C116" s="86"/>
      <c r="D116" s="86"/>
      <c r="E116" s="106" t="str">
        <f>HYPERLINK("https://docs.google.com/document/d/11w6yBUjsu8V_XSpAhgfpyhn0Hy9_8uqNquAzY65hsGw/edit?usp=sharing","08")</f>
        <v>08</v>
      </c>
      <c r="F116" s="91"/>
      <c r="G116" s="91" t="s">
        <v>315</v>
      </c>
      <c r="H116" s="105" t="s">
        <v>315</v>
      </c>
      <c r="I116" s="105" t="s">
        <v>314</v>
      </c>
      <c r="J116" s="86"/>
      <c r="K116" s="86"/>
      <c r="L116" s="86"/>
    </row>
    <row r="117">
      <c r="A117" s="86"/>
      <c r="B117" s="86"/>
      <c r="C117" s="7"/>
      <c r="D117" s="7"/>
      <c r="E117" s="96" t="str">
        <f>HYPERLINK("https://docs.google.com/document/d/1EvHZas7WotwbWYEWBSj5cFsDtuNX5ypee408xXfE_PY/edit?usp=sharing","09")</f>
        <v>09</v>
      </c>
      <c r="F117" s="104" t="s">
        <v>9</v>
      </c>
      <c r="G117" s="104" t="s">
        <v>315</v>
      </c>
      <c r="H117" s="36" t="s">
        <v>314</v>
      </c>
      <c r="I117" s="36" t="s">
        <v>315</v>
      </c>
      <c r="J117" s="7"/>
      <c r="K117" s="7"/>
      <c r="L117" s="7"/>
    </row>
    <row r="118">
      <c r="A118" s="86"/>
      <c r="B118" s="86"/>
      <c r="C118" s="109" t="s">
        <v>392</v>
      </c>
      <c r="D118" s="83">
        <v>5.0</v>
      </c>
      <c r="E118" s="88" t="str">
        <f>HYPERLINK("https://docs.google.com/document/d/1cTyvYQB3IeB8zIlW9uqZe0FGkCovy_r__PJ3cU9vwYY/edit?usp=sharing","01")</f>
        <v>01</v>
      </c>
      <c r="F118" s="100" t="s">
        <v>318</v>
      </c>
      <c r="G118" s="100" t="s">
        <v>315</v>
      </c>
      <c r="H118" s="92" t="s">
        <v>315</v>
      </c>
      <c r="I118" s="92" t="s">
        <v>314</v>
      </c>
      <c r="J118" s="83" t="s">
        <v>55</v>
      </c>
      <c r="K118" s="109" t="s">
        <v>37</v>
      </c>
      <c r="L118" s="126" t="s">
        <v>393</v>
      </c>
    </row>
    <row r="119">
      <c r="A119" s="86"/>
      <c r="B119" s="86"/>
      <c r="C119" s="86"/>
      <c r="D119" s="86"/>
      <c r="E119" s="106" t="str">
        <f>HYPERLINK("https://docs.google.com/document/d/1nWnN_ChA1cnrDrpjlDgtrmWqUBfK-0dsOp4rplnrhC4/edit?usp=sharing","02")</f>
        <v>02</v>
      </c>
      <c r="F119" s="91"/>
      <c r="G119" s="91" t="s">
        <v>314</v>
      </c>
      <c r="H119" s="105" t="s">
        <v>315</v>
      </c>
      <c r="I119" s="105" t="s">
        <v>314</v>
      </c>
      <c r="J119" s="86"/>
      <c r="K119" s="86"/>
      <c r="L119" s="86"/>
    </row>
    <row r="120">
      <c r="A120" s="86"/>
      <c r="B120" s="86"/>
      <c r="C120" s="86"/>
      <c r="D120" s="86"/>
      <c r="E120" s="106" t="str">
        <f>HYPERLINK("https://docs.google.com/document/d/1yR0LWnFwOR9m_lfhO12HeT_JrpgwHqCJwBYsy00t8JQ/edit?usp=sharing","03")</f>
        <v>03</v>
      </c>
      <c r="F120" s="91"/>
      <c r="G120" s="91" t="s">
        <v>314</v>
      </c>
      <c r="H120" s="105" t="s">
        <v>315</v>
      </c>
      <c r="I120" s="105" t="s">
        <v>314</v>
      </c>
      <c r="J120" s="86"/>
      <c r="K120" s="86"/>
      <c r="L120" s="86"/>
    </row>
    <row r="121">
      <c r="A121" s="86"/>
      <c r="B121" s="86"/>
      <c r="C121" s="86"/>
      <c r="D121" s="86"/>
      <c r="E121" s="106" t="str">
        <f>HYPERLINK("https://docs.google.com/document/d/1foz5MFDUpVHrc_y0jS4BkUrbrDSYuuhlNgvDKDWWlyE/edit?usp=sharing","05")</f>
        <v>05</v>
      </c>
      <c r="F121" s="91" t="s">
        <v>389</v>
      </c>
      <c r="G121" s="91" t="s">
        <v>315</v>
      </c>
      <c r="H121" s="105" t="s">
        <v>314</v>
      </c>
      <c r="I121" s="105" t="s">
        <v>315</v>
      </c>
      <c r="J121" s="86"/>
      <c r="K121" s="86"/>
      <c r="L121" s="86"/>
    </row>
    <row r="122">
      <c r="A122" s="86"/>
      <c r="B122" s="86"/>
      <c r="C122" s="7"/>
      <c r="D122" s="7"/>
      <c r="E122" s="96" t="str">
        <f t="shared" ref="E122:E123" si="11">HYPERLINK("https://docs.google.com/document/d/1RK1b3fgDSvM8LOBYxQHdHXK_-0y4bsFxaAKvUOjqpR8/edit?usp=sharing","10")</f>
        <v>10</v>
      </c>
      <c r="F122" s="104"/>
      <c r="G122" s="104" t="s">
        <v>314</v>
      </c>
      <c r="H122" s="36" t="s">
        <v>314</v>
      </c>
      <c r="I122" s="36" t="s">
        <v>315</v>
      </c>
      <c r="J122" s="7"/>
      <c r="K122" s="7"/>
      <c r="L122" s="7"/>
    </row>
    <row r="123">
      <c r="A123" s="86"/>
      <c r="B123" s="86"/>
      <c r="C123" s="124" t="s">
        <v>394</v>
      </c>
      <c r="D123" s="121">
        <v>1.0</v>
      </c>
      <c r="E123" s="84" t="str">
        <f t="shared" si="11"/>
        <v>10</v>
      </c>
      <c r="F123" s="27"/>
      <c r="G123" s="10" t="s">
        <v>314</v>
      </c>
      <c r="H123" s="43" t="s">
        <v>314</v>
      </c>
      <c r="I123" s="43" t="s">
        <v>315</v>
      </c>
      <c r="J123" s="121" t="s">
        <v>62</v>
      </c>
      <c r="K123" s="124" t="s">
        <v>24</v>
      </c>
      <c r="L123" s="125"/>
    </row>
    <row r="124">
      <c r="A124" s="7"/>
      <c r="B124" s="7"/>
      <c r="C124" s="124" t="s">
        <v>395</v>
      </c>
      <c r="D124" s="124">
        <v>1.0</v>
      </c>
      <c r="E124" s="106" t="str">
        <f>HYPERLINK("https://docs.google.com/document/d/1foz5MFDUpVHrc_y0jS4BkUrbrDSYuuhlNgvDKDWWlyE/edit?usp=sharing","05")</f>
        <v>05</v>
      </c>
      <c r="F124" s="91" t="s">
        <v>389</v>
      </c>
      <c r="G124" s="91" t="s">
        <v>315</v>
      </c>
      <c r="H124" s="105" t="s">
        <v>314</v>
      </c>
      <c r="I124" s="105" t="s">
        <v>315</v>
      </c>
      <c r="J124" s="124" t="s">
        <v>39</v>
      </c>
      <c r="K124" s="124" t="s">
        <v>26</v>
      </c>
      <c r="L124" s="125"/>
    </row>
    <row r="125">
      <c r="A125" s="82" t="str">
        <f>HYPERLINK("https://docs.google.com/spreadsheets/d/1sWOJC8eB6rVdXdWiWMgfbfgw2325jIh1ODKxyaCmSGc/edit?usp=sharing","11")</f>
        <v>11</v>
      </c>
      <c r="B125" s="83">
        <v>15.0</v>
      </c>
      <c r="C125" s="124" t="s">
        <v>396</v>
      </c>
      <c r="D125" s="121">
        <v>1.0</v>
      </c>
      <c r="E125" s="84" t="str">
        <f t="shared" ref="E125:E126" si="12">HYPERLINK("https://docs.google.com/document/d/1tyVzKeM2MtpcUx41AIZ_qzkhMqrSLMna2anoiRpOlF0/edit?usp=sharing","02")</f>
        <v>02</v>
      </c>
      <c r="F125" s="10" t="s">
        <v>353</v>
      </c>
      <c r="G125" s="10" t="s">
        <v>314</v>
      </c>
      <c r="H125" s="10" t="s">
        <v>314</v>
      </c>
      <c r="I125" s="10" t="s">
        <v>315</v>
      </c>
      <c r="J125" s="121" t="s">
        <v>128</v>
      </c>
      <c r="K125" s="121" t="s">
        <v>60</v>
      </c>
      <c r="L125" s="128"/>
    </row>
    <row r="126">
      <c r="A126" s="86"/>
      <c r="B126" s="86"/>
      <c r="C126" s="124" t="s">
        <v>397</v>
      </c>
      <c r="D126" s="121">
        <v>1.0</v>
      </c>
      <c r="E126" s="84" t="str">
        <f t="shared" si="12"/>
        <v>02</v>
      </c>
      <c r="F126" s="27"/>
      <c r="G126" s="10" t="s">
        <v>315</v>
      </c>
      <c r="H126" s="10" t="s">
        <v>315</v>
      </c>
      <c r="I126" s="10" t="s">
        <v>314</v>
      </c>
      <c r="J126" s="121" t="s">
        <v>113</v>
      </c>
      <c r="K126" s="124" t="s">
        <v>60</v>
      </c>
      <c r="L126" s="125"/>
    </row>
    <row r="127">
      <c r="A127" s="86"/>
      <c r="B127" s="86"/>
      <c r="C127" s="124" t="s">
        <v>398</v>
      </c>
      <c r="D127" s="121">
        <v>1.0</v>
      </c>
      <c r="E127" s="84" t="str">
        <f>HYPERLINK("https://docs.google.com/document/d/1lvgarzUwDbCLImZYYSHYdy-jX0xPwGn1e-Am40dw9Yg/edit?usp=sharing","03")</f>
        <v>03</v>
      </c>
      <c r="F127" s="27"/>
      <c r="G127" s="10" t="s">
        <v>315</v>
      </c>
      <c r="H127" s="10" t="s">
        <v>315</v>
      </c>
      <c r="I127" s="10" t="s">
        <v>314</v>
      </c>
      <c r="J127" s="121" t="s">
        <v>114</v>
      </c>
      <c r="K127" s="124" t="s">
        <v>60</v>
      </c>
      <c r="L127" s="125"/>
    </row>
    <row r="128">
      <c r="A128" s="86"/>
      <c r="B128" s="86"/>
      <c r="C128" s="124" t="s">
        <v>399</v>
      </c>
      <c r="D128" s="121">
        <v>1.0</v>
      </c>
      <c r="E128" s="84" t="str">
        <f>HYPERLINK("https://docs.google.com/document/d/1tyVzKeM2MtpcUx41AIZ_qzkhMqrSLMna2anoiRpOlF0/edit?usp=sharing","02")</f>
        <v>02</v>
      </c>
      <c r="F128" s="27"/>
      <c r="G128" s="10" t="s">
        <v>314</v>
      </c>
      <c r="H128" s="10" t="s">
        <v>314</v>
      </c>
      <c r="I128" s="10" t="s">
        <v>315</v>
      </c>
      <c r="J128" s="121" t="s">
        <v>85</v>
      </c>
      <c r="K128" s="124" t="s">
        <v>60</v>
      </c>
      <c r="L128" s="125"/>
    </row>
    <row r="129">
      <c r="A129" s="86"/>
      <c r="B129" s="86"/>
      <c r="C129" s="124" t="s">
        <v>171</v>
      </c>
      <c r="D129" s="121">
        <v>1.0</v>
      </c>
      <c r="E129" s="84" t="str">
        <f>HYPERLINK("https://docs.google.com/document/d/1psOL4GCNGzo2leKLqbS2gGLlS0-FJhqMcMM3WTdBP7U/edit?usp=sharing","04")</f>
        <v>04</v>
      </c>
      <c r="F129" s="10" t="s">
        <v>380</v>
      </c>
      <c r="G129" s="10" t="s">
        <v>315</v>
      </c>
      <c r="H129" s="10" t="s">
        <v>315</v>
      </c>
      <c r="I129" s="10" t="s">
        <v>314</v>
      </c>
      <c r="J129" s="121" t="s">
        <v>83</v>
      </c>
      <c r="K129" s="124" t="s">
        <v>84</v>
      </c>
      <c r="L129" s="125"/>
    </row>
    <row r="130">
      <c r="A130" s="86"/>
      <c r="B130" s="86"/>
      <c r="C130" s="109" t="s">
        <v>400</v>
      </c>
      <c r="D130" s="83">
        <v>2.0</v>
      </c>
      <c r="E130" s="88" t="str">
        <f>HYPERLINK("https://docs.google.com/document/d/1tyVzKeM2MtpcUx41AIZ_qzkhMqrSLMna2anoiRpOlF0/edit?usp=sharing","02")</f>
        <v>02</v>
      </c>
      <c r="F130" s="89"/>
      <c r="G130" s="100" t="s">
        <v>315</v>
      </c>
      <c r="H130" s="92" t="s">
        <v>315</v>
      </c>
      <c r="I130" s="92" t="s">
        <v>314</v>
      </c>
      <c r="J130" s="83" t="s">
        <v>70</v>
      </c>
      <c r="K130" s="109" t="s">
        <v>46</v>
      </c>
      <c r="L130" s="123"/>
    </row>
    <row r="131">
      <c r="A131" s="86"/>
      <c r="B131" s="86"/>
      <c r="C131" s="7"/>
      <c r="D131" s="7"/>
      <c r="E131" s="96" t="str">
        <f>HYPERLINK("https://docs.google.com/document/d/1elwMsyCm0QFWW_TYnucwp2JVBgilla95aq-t9bg_-YY/edit?usp=sharing","09")</f>
        <v>09</v>
      </c>
      <c r="F131" s="97"/>
      <c r="G131" s="104" t="s">
        <v>315</v>
      </c>
      <c r="H131" s="36" t="s">
        <v>314</v>
      </c>
      <c r="I131" s="36" t="s">
        <v>315</v>
      </c>
      <c r="J131" s="7"/>
      <c r="K131" s="7"/>
      <c r="L131" s="7"/>
    </row>
    <row r="132">
      <c r="A132" s="86"/>
      <c r="B132" s="86"/>
      <c r="C132" s="109" t="s">
        <v>401</v>
      </c>
      <c r="D132" s="83">
        <v>5.0</v>
      </c>
      <c r="E132" s="88" t="str">
        <f>HYPERLINK("https://docs.google.com/document/d/1psOL4GCNGzo2leKLqbS2gGLlS0-FJhqMcMM3WTdBP7U/edit?usp=sharing","04")</f>
        <v>04</v>
      </c>
      <c r="F132" s="100" t="s">
        <v>380</v>
      </c>
      <c r="G132" s="100" t="s">
        <v>314</v>
      </c>
      <c r="H132" s="92" t="s">
        <v>314</v>
      </c>
      <c r="I132" s="92" t="s">
        <v>315</v>
      </c>
      <c r="J132" s="83" t="s">
        <v>41</v>
      </c>
      <c r="K132" s="109" t="s">
        <v>37</v>
      </c>
      <c r="L132" s="126" t="s">
        <v>340</v>
      </c>
    </row>
    <row r="133">
      <c r="A133" s="86"/>
      <c r="B133" s="86"/>
      <c r="C133" s="86"/>
      <c r="D133" s="86"/>
      <c r="E133" s="106" t="str">
        <f>HYPERLINK("https://docs.google.com/document/d/19S0n1pg-1ejLMQdej3dBLEwD8qp6LhoHsDt1739TqhE/edit?usp=sharing","06")</f>
        <v>06</v>
      </c>
      <c r="F133" s="91" t="s">
        <v>389</v>
      </c>
      <c r="G133" s="91" t="s">
        <v>315</v>
      </c>
      <c r="H133" s="105" t="s">
        <v>314</v>
      </c>
      <c r="I133" s="105" t="s">
        <v>315</v>
      </c>
      <c r="J133" s="86"/>
      <c r="K133" s="86"/>
      <c r="L133" s="86"/>
    </row>
    <row r="134">
      <c r="A134" s="86"/>
      <c r="B134" s="86"/>
      <c r="C134" s="86"/>
      <c r="D134" s="86"/>
      <c r="E134" s="106" t="str">
        <f>HYPERLINK("https://docs.google.com/document/d/1qo20UGtSuxJj94UkUfbUGD7n6R_RALjqxhHsNPleL5k/edit?usp=sharing","07")</f>
        <v>07</v>
      </c>
      <c r="F134" s="91"/>
      <c r="G134" s="91" t="s">
        <v>314</v>
      </c>
      <c r="H134" s="105" t="s">
        <v>315</v>
      </c>
      <c r="I134" s="105" t="s">
        <v>314</v>
      </c>
      <c r="J134" s="86"/>
      <c r="K134" s="86"/>
      <c r="L134" s="86"/>
    </row>
    <row r="135">
      <c r="A135" s="86"/>
      <c r="B135" s="86"/>
      <c r="C135" s="86"/>
      <c r="D135" s="86"/>
      <c r="E135" s="106" t="str">
        <f>HYPERLINK("https://docs.google.com/document/d/1elwMsyCm0QFWW_TYnucwp2JVBgilla95aq-t9bg_-YY/edit?usp=sharing","09")</f>
        <v>09</v>
      </c>
      <c r="F135" s="91"/>
      <c r="G135" s="91" t="s">
        <v>315</v>
      </c>
      <c r="H135" s="105" t="s">
        <v>314</v>
      </c>
      <c r="I135" s="105" t="s">
        <v>315</v>
      </c>
      <c r="J135" s="86"/>
      <c r="K135" s="86"/>
      <c r="L135" s="86"/>
    </row>
    <row r="136">
      <c r="A136" s="86"/>
      <c r="B136" s="86"/>
      <c r="C136" s="7"/>
      <c r="D136" s="7"/>
      <c r="E136" s="96" t="str">
        <f>HYPERLINK("https://docs.google.com/document/d/1MGUANpt7zgfliPzxl_iznNaV8NNlXqximZRzX7K6jb0/edit?usp=sharing","12")</f>
        <v>12</v>
      </c>
      <c r="F136" s="104" t="s">
        <v>357</v>
      </c>
      <c r="G136" s="104" t="s">
        <v>315</v>
      </c>
      <c r="H136" s="36" t="s">
        <v>314</v>
      </c>
      <c r="I136" s="36" t="s">
        <v>315</v>
      </c>
      <c r="J136" s="7"/>
      <c r="K136" s="7"/>
      <c r="L136" s="7"/>
    </row>
    <row r="137">
      <c r="A137" s="86"/>
      <c r="B137" s="86"/>
      <c r="C137" s="124" t="s">
        <v>402</v>
      </c>
      <c r="D137" s="121">
        <v>1.0</v>
      </c>
      <c r="E137" s="84" t="str">
        <f>HYPERLINK("https://docs.google.com/document/d/1fAlkBXyCyW2CxscTdRWJczufwOcFV2d8Cyen-2URofo/edit?usp=sharing","05")</f>
        <v>05</v>
      </c>
      <c r="F137" s="27"/>
      <c r="G137" s="10" t="s">
        <v>314</v>
      </c>
      <c r="H137" s="10" t="s">
        <v>315</v>
      </c>
      <c r="I137" s="10" t="s">
        <v>314</v>
      </c>
      <c r="J137" s="121" t="s">
        <v>34</v>
      </c>
      <c r="K137" s="124" t="s">
        <v>24</v>
      </c>
      <c r="L137" s="125"/>
    </row>
    <row r="138">
      <c r="A138" s="86"/>
      <c r="B138" s="86"/>
      <c r="C138" s="124" t="s">
        <v>281</v>
      </c>
      <c r="D138" s="121">
        <v>1.0</v>
      </c>
      <c r="E138" s="84" t="str">
        <f t="shared" ref="E138:E139" si="13">HYPERLINK("https://docs.google.com/document/d/19S0n1pg-1ejLMQdej3dBLEwD8qp6LhoHsDt1739TqhE/edit?usp=sharing","06")</f>
        <v>06</v>
      </c>
      <c r="F138" s="10" t="s">
        <v>389</v>
      </c>
      <c r="G138" s="10" t="s">
        <v>315</v>
      </c>
      <c r="H138" s="10" t="s">
        <v>314</v>
      </c>
      <c r="I138" s="10" t="s">
        <v>315</v>
      </c>
      <c r="J138" s="121" t="s">
        <v>32</v>
      </c>
      <c r="K138" s="124" t="s">
        <v>26</v>
      </c>
      <c r="L138" s="125"/>
    </row>
    <row r="139">
      <c r="A139" s="7"/>
      <c r="B139" s="7"/>
      <c r="C139" s="124" t="s">
        <v>132</v>
      </c>
      <c r="D139" s="121">
        <v>1.0</v>
      </c>
      <c r="E139" s="84" t="str">
        <f t="shared" si="13"/>
        <v>06</v>
      </c>
      <c r="F139" s="10" t="s">
        <v>389</v>
      </c>
      <c r="G139" s="10" t="s">
        <v>314</v>
      </c>
      <c r="H139" s="10" t="s">
        <v>314</v>
      </c>
      <c r="I139" s="10" t="s">
        <v>315</v>
      </c>
      <c r="J139" s="121" t="s">
        <v>29</v>
      </c>
      <c r="K139" s="124" t="s">
        <v>28</v>
      </c>
      <c r="L139" s="125"/>
    </row>
    <row r="140">
      <c r="A140" s="82" t="str">
        <f>HYPERLINK("https://docs.google.com/spreadsheets/d/1VEbyebFdBtPJKQC_U2uGrW6_v1fn6Hsoz3YYLyCxHR0/edit?usp=sharing","12")</f>
        <v>12</v>
      </c>
      <c r="B140" s="83">
        <v>12.0</v>
      </c>
      <c r="C140" s="124" t="s">
        <v>403</v>
      </c>
      <c r="D140" s="121">
        <v>1.0</v>
      </c>
      <c r="E140" s="84" t="str">
        <f t="shared" ref="E140:E142" si="14">HYPERLINK("https://docs.google.com/document/d/1rl5S16zG9fU8QhvpEee0cfJD94BuO589VUj8fgHNKsQ/edit?usp=sharing","02")</f>
        <v>02</v>
      </c>
      <c r="F140" s="10" t="s">
        <v>380</v>
      </c>
      <c r="G140" s="10" t="s">
        <v>315</v>
      </c>
      <c r="H140" s="10" t="s">
        <v>315</v>
      </c>
      <c r="I140" s="10" t="s">
        <v>314</v>
      </c>
      <c r="J140" s="121" t="s">
        <v>137</v>
      </c>
      <c r="K140" s="124" t="s">
        <v>60</v>
      </c>
      <c r="L140" s="125"/>
    </row>
    <row r="141">
      <c r="A141" s="86"/>
      <c r="B141" s="86"/>
      <c r="C141" s="124" t="s">
        <v>404</v>
      </c>
      <c r="D141" s="121">
        <v>1.0</v>
      </c>
      <c r="E141" s="84" t="str">
        <f t="shared" si="14"/>
        <v>02</v>
      </c>
      <c r="F141" s="10" t="s">
        <v>380</v>
      </c>
      <c r="G141" s="10" t="s">
        <v>315</v>
      </c>
      <c r="H141" s="10" t="s">
        <v>315</v>
      </c>
      <c r="I141" s="10" t="s">
        <v>314</v>
      </c>
      <c r="J141" s="121" t="s">
        <v>107</v>
      </c>
      <c r="K141" s="124" t="s">
        <v>60</v>
      </c>
      <c r="L141" s="125"/>
    </row>
    <row r="142">
      <c r="A142" s="86"/>
      <c r="B142" s="86"/>
      <c r="C142" s="124" t="s">
        <v>405</v>
      </c>
      <c r="D142" s="121">
        <v>1.0</v>
      </c>
      <c r="E142" s="84" t="str">
        <f t="shared" si="14"/>
        <v>02</v>
      </c>
      <c r="F142" s="10" t="s">
        <v>380</v>
      </c>
      <c r="G142" s="10" t="s">
        <v>314</v>
      </c>
      <c r="H142" s="10" t="s">
        <v>314</v>
      </c>
      <c r="I142" s="10" t="s">
        <v>315</v>
      </c>
      <c r="J142" s="121" t="s">
        <v>106</v>
      </c>
      <c r="K142" s="124" t="s">
        <v>60</v>
      </c>
      <c r="L142" s="125"/>
    </row>
    <row r="143">
      <c r="A143" s="86"/>
      <c r="B143" s="86"/>
      <c r="C143" s="109" t="s">
        <v>406</v>
      </c>
      <c r="D143" s="83">
        <v>2.0</v>
      </c>
      <c r="E143" s="88" t="str">
        <f>HYPERLINK("https://docs.google.com/document/d/1a8T_xL2KZayPnxETlA9I3tbDU3GjULGZjFqKmItpREs/edit?usp=sharing","01")</f>
        <v>01</v>
      </c>
      <c r="F143" s="100" t="s">
        <v>318</v>
      </c>
      <c r="G143" s="100" t="s">
        <v>315</v>
      </c>
      <c r="H143" s="92" t="s">
        <v>315</v>
      </c>
      <c r="I143" s="92" t="s">
        <v>314</v>
      </c>
      <c r="J143" s="83" t="s">
        <v>57</v>
      </c>
      <c r="K143" s="109" t="s">
        <v>43</v>
      </c>
      <c r="L143" s="126" t="s">
        <v>407</v>
      </c>
    </row>
    <row r="144">
      <c r="A144" s="86"/>
      <c r="B144" s="86"/>
      <c r="C144" s="7"/>
      <c r="D144" s="7"/>
      <c r="E144" s="96" t="str">
        <f>HYPERLINK("https://docs.google.com/document/d/11D9eHgg6_DAoBKCKGhoIe7xddNldJdojvYFvvZEkRM8/edit?usp=sharing","06")</f>
        <v>06</v>
      </c>
      <c r="F144" s="104"/>
      <c r="G144" s="104" t="s">
        <v>315</v>
      </c>
      <c r="H144" s="36" t="s">
        <v>315</v>
      </c>
      <c r="I144" s="36" t="s">
        <v>314</v>
      </c>
      <c r="J144" s="7"/>
      <c r="K144" s="7"/>
      <c r="L144" s="7"/>
    </row>
    <row r="145">
      <c r="A145" s="86"/>
      <c r="B145" s="86"/>
      <c r="C145" s="109" t="s">
        <v>408</v>
      </c>
      <c r="D145" s="83">
        <v>2.0</v>
      </c>
      <c r="E145" s="88" t="str">
        <f>HYPERLINK("https://docs.google.com/document/d/1DsdsdTuHqnlxY4yUWucEhvccYVIv55rJbh-dmY2gt7Y/edit?usp=sharing","04")</f>
        <v>04</v>
      </c>
      <c r="F145" s="89"/>
      <c r="G145" s="100" t="s">
        <v>315</v>
      </c>
      <c r="H145" s="92" t="s">
        <v>315</v>
      </c>
      <c r="I145" s="92" t="s">
        <v>314</v>
      </c>
      <c r="J145" s="83" t="s">
        <v>59</v>
      </c>
      <c r="K145" s="109" t="s">
        <v>58</v>
      </c>
      <c r="L145" s="123"/>
    </row>
    <row r="146">
      <c r="A146" s="86"/>
      <c r="B146" s="86"/>
      <c r="C146" s="7"/>
      <c r="D146" s="7"/>
      <c r="E146" s="96" t="str">
        <f>HYPERLINK("https://docs.google.com/document/d/11D9eHgg6_DAoBKCKGhoIe7xddNldJdojvYFvvZEkRM8/edit?usp=sharing","06")</f>
        <v>06</v>
      </c>
      <c r="F146" s="97"/>
      <c r="G146" s="104" t="s">
        <v>315</v>
      </c>
      <c r="H146" s="36" t="s">
        <v>315</v>
      </c>
      <c r="I146" s="36" t="s">
        <v>314</v>
      </c>
      <c r="J146" s="7"/>
      <c r="K146" s="7"/>
      <c r="L146" s="7"/>
    </row>
    <row r="147">
      <c r="A147" s="86"/>
      <c r="B147" s="86"/>
      <c r="C147" s="109" t="s">
        <v>409</v>
      </c>
      <c r="D147" s="83">
        <v>2.0</v>
      </c>
      <c r="E147" s="88" t="str">
        <f>HYPERLINK("https://docs.google.com/document/d/1c6FMQqGiz78XnVneYJp4vSHprLW57E_0GK7nLMPvAmo/edit?usp=sharing","09")</f>
        <v>09</v>
      </c>
      <c r="F147" s="89"/>
      <c r="G147" s="100" t="s">
        <v>314</v>
      </c>
      <c r="H147" s="92" t="s">
        <v>314</v>
      </c>
      <c r="I147" s="92" t="s">
        <v>315</v>
      </c>
      <c r="J147" s="83" t="s">
        <v>52</v>
      </c>
      <c r="K147" s="109" t="s">
        <v>46</v>
      </c>
      <c r="L147" s="126" t="s">
        <v>340</v>
      </c>
    </row>
    <row r="148">
      <c r="A148" s="86"/>
      <c r="B148" s="86"/>
      <c r="C148" s="7"/>
      <c r="D148" s="7"/>
      <c r="E148" s="96" t="str">
        <f>HYPERLINK("https://docs.google.com/document/d/1qDVn0RB4vZigwhvm7jpRFzpoxv3fXq3TPZLQ4ypkMS0/edit?usp=sharing","10")</f>
        <v>10</v>
      </c>
      <c r="F148" s="97"/>
      <c r="G148" s="104" t="s">
        <v>314</v>
      </c>
      <c r="H148" s="36" t="s">
        <v>314</v>
      </c>
      <c r="I148" s="36" t="s">
        <v>315</v>
      </c>
      <c r="J148" s="7"/>
      <c r="K148" s="7"/>
      <c r="L148" s="7"/>
    </row>
    <row r="149">
      <c r="A149" s="86"/>
      <c r="B149" s="86"/>
      <c r="C149" s="109" t="s">
        <v>194</v>
      </c>
      <c r="D149" s="83">
        <v>2.0</v>
      </c>
      <c r="E149" s="88" t="str">
        <f>HYPERLINK("https://docs.google.com/document/d/1UfIVDFzEsiwB5NKeFyHlWkxpMOI6Gn1iv1YSI7TL-uI/edit?usp=sharing","03")</f>
        <v>03</v>
      </c>
      <c r="F149" s="89"/>
      <c r="G149" s="100" t="s">
        <v>314</v>
      </c>
      <c r="H149" s="92" t="s">
        <v>315</v>
      </c>
      <c r="I149" s="92" t="s">
        <v>314</v>
      </c>
      <c r="J149" s="83" t="s">
        <v>27</v>
      </c>
      <c r="K149" s="109" t="s">
        <v>26</v>
      </c>
      <c r="L149" s="123"/>
    </row>
    <row r="150">
      <c r="A150" s="86"/>
      <c r="B150" s="86"/>
      <c r="C150" s="7"/>
      <c r="D150" s="7"/>
      <c r="E150" s="96" t="str">
        <f>HYPERLINK("https://docs.google.com/document/d/1Dk3LhudJd2RsdmM7D_gyYj6Ohd-6ZOOTYeiXwR-wUe4/edit?usp=sharing","08")</f>
        <v>08</v>
      </c>
      <c r="F150" s="104" t="s">
        <v>9</v>
      </c>
      <c r="G150" s="104" t="s">
        <v>315</v>
      </c>
      <c r="H150" s="36" t="s">
        <v>314</v>
      </c>
      <c r="I150" s="36" t="s">
        <v>315</v>
      </c>
      <c r="J150" s="7"/>
      <c r="K150" s="7"/>
      <c r="L150" s="7"/>
    </row>
    <row r="151">
      <c r="A151" s="7"/>
      <c r="B151" s="7"/>
      <c r="C151" s="124" t="s">
        <v>410</v>
      </c>
      <c r="D151" s="124">
        <v>1.0</v>
      </c>
      <c r="E151" s="106" t="str">
        <f>HYPERLINK("https://docs.google.com/document/d/1rl5S16zG9fU8QhvpEee0cfJD94BuO589VUj8fgHNKsQ/edit?usp=sharing","02")</f>
        <v>02</v>
      </c>
      <c r="F151" s="91" t="s">
        <v>380</v>
      </c>
      <c r="G151" s="91" t="s">
        <v>314</v>
      </c>
      <c r="H151" s="105" t="s">
        <v>314</v>
      </c>
      <c r="I151" s="105" t="s">
        <v>315</v>
      </c>
      <c r="J151" s="124" t="s">
        <v>30</v>
      </c>
      <c r="K151" s="124" t="s">
        <v>28</v>
      </c>
      <c r="L151" s="125"/>
    </row>
    <row r="152" hidden="1">
      <c r="A152" s="129" t="str">
        <f>HYPERLINK("https://docs.google.com/spreadsheets/d/1rz6ALoU3mT5OJ_iH2N4xiG0LgAiJBxDKcGWX_MT9VBw/edit?usp=sharing","13")</f>
        <v>13</v>
      </c>
      <c r="B152" s="121"/>
      <c r="C152" s="124" t="s">
        <v>411</v>
      </c>
      <c r="D152" s="130"/>
      <c r="E152" s="131"/>
      <c r="F152" s="107"/>
      <c r="G152" s="91"/>
      <c r="H152" s="91"/>
      <c r="I152" s="91"/>
      <c r="J152" s="124" t="s">
        <v>124</v>
      </c>
      <c r="K152" s="124" t="s">
        <v>60</v>
      </c>
      <c r="L152" s="125"/>
    </row>
    <row r="153" hidden="1">
      <c r="A153" s="132"/>
      <c r="B153" s="121"/>
      <c r="C153" s="124" t="s">
        <v>412</v>
      </c>
      <c r="D153" s="130"/>
      <c r="E153" s="106" t="str">
        <f>HYPERLINK("https://docs.google.com/document/d/1Z3n2KeW5cDRzNZ6AU9sa0rNjQ1su0bB8XnLzSlf5Uss/edit?usp=sharing","01")</f>
        <v>01</v>
      </c>
      <c r="F153" s="91" t="s">
        <v>318</v>
      </c>
      <c r="G153" s="91" t="s">
        <v>315</v>
      </c>
      <c r="H153" s="91" t="s">
        <v>315</v>
      </c>
      <c r="I153" s="91" t="s">
        <v>314</v>
      </c>
      <c r="J153" s="133" t="s">
        <v>111</v>
      </c>
      <c r="K153" s="124" t="s">
        <v>60</v>
      </c>
      <c r="L153" s="125"/>
    </row>
    <row r="154" hidden="1">
      <c r="A154" s="132"/>
      <c r="B154" s="121"/>
      <c r="C154" s="124" t="s">
        <v>413</v>
      </c>
      <c r="D154" s="130"/>
      <c r="E154" s="131"/>
      <c r="F154" s="107"/>
      <c r="G154" s="108"/>
      <c r="H154" s="91"/>
      <c r="I154" s="105"/>
      <c r="J154" s="133" t="s">
        <v>100</v>
      </c>
      <c r="K154" s="124" t="s">
        <v>60</v>
      </c>
      <c r="L154" s="125"/>
    </row>
    <row r="155" hidden="1">
      <c r="A155" s="132"/>
      <c r="B155" s="121"/>
      <c r="C155" s="124" t="s">
        <v>414</v>
      </c>
      <c r="D155" s="130"/>
      <c r="E155" s="106" t="str">
        <f>HYPERLINK("https://drive.google.com/open?id=1RB4Z7wFXvvYy4PNkAYGTndhJn0m3DMYZ-vZhScUh-uM","02")</f>
        <v>02</v>
      </c>
      <c r="F155" s="107"/>
      <c r="G155" s="108" t="s">
        <v>315</v>
      </c>
      <c r="H155" s="91" t="s">
        <v>315</v>
      </c>
      <c r="I155" s="105" t="s">
        <v>314</v>
      </c>
      <c r="J155" s="133" t="s">
        <v>82</v>
      </c>
      <c r="K155" s="124" t="s">
        <v>84</v>
      </c>
      <c r="L155" s="125"/>
    </row>
    <row r="156" hidden="1">
      <c r="A156" s="132"/>
      <c r="B156" s="121"/>
      <c r="C156" s="124" t="s">
        <v>415</v>
      </c>
      <c r="D156" s="130"/>
      <c r="E156" s="131"/>
      <c r="F156" s="107"/>
      <c r="G156" s="108"/>
      <c r="H156" s="91"/>
      <c r="I156" s="105"/>
      <c r="J156" s="133" t="s">
        <v>69</v>
      </c>
      <c r="K156" s="124" t="s">
        <v>48</v>
      </c>
      <c r="L156" s="125"/>
    </row>
    <row r="157" hidden="1">
      <c r="A157" s="132"/>
      <c r="B157" s="121"/>
      <c r="C157" s="124" t="s">
        <v>416</v>
      </c>
      <c r="D157" s="130"/>
      <c r="E157" s="131"/>
      <c r="F157" s="107"/>
      <c r="G157" s="108"/>
      <c r="H157" s="91"/>
      <c r="I157" s="105"/>
      <c r="J157" s="133" t="s">
        <v>86</v>
      </c>
      <c r="K157" s="124" t="s">
        <v>43</v>
      </c>
      <c r="L157" s="125"/>
    </row>
    <row r="158" hidden="1">
      <c r="A158" s="132"/>
      <c r="B158" s="121"/>
      <c r="C158" s="124" t="s">
        <v>417</v>
      </c>
      <c r="D158" s="130"/>
      <c r="E158" s="106" t="str">
        <f t="shared" ref="E158:E160" si="15">HYPERLINK("https://drive.google.com/open?id=1RB4Z7wFXvvYy4PNkAYGTndhJn0m3DMYZ-vZhScUh-uM","02")</f>
        <v>02</v>
      </c>
      <c r="F158" s="107"/>
      <c r="G158" s="108" t="s">
        <v>315</v>
      </c>
      <c r="H158" s="91" t="s">
        <v>315</v>
      </c>
      <c r="I158" s="105" t="s">
        <v>314</v>
      </c>
      <c r="J158" s="133" t="s">
        <v>71</v>
      </c>
      <c r="K158" s="124" t="s">
        <v>46</v>
      </c>
      <c r="L158" s="125"/>
    </row>
    <row r="159" hidden="1">
      <c r="A159" s="132"/>
      <c r="B159" s="121"/>
      <c r="C159" s="124" t="s">
        <v>101</v>
      </c>
      <c r="D159" s="130"/>
      <c r="E159" s="106" t="str">
        <f t="shared" si="15"/>
        <v>02</v>
      </c>
      <c r="F159" s="107"/>
      <c r="G159" s="108" t="s">
        <v>315</v>
      </c>
      <c r="H159" s="91" t="s">
        <v>315</v>
      </c>
      <c r="I159" s="105" t="s">
        <v>314</v>
      </c>
      <c r="J159" s="133" t="s">
        <v>65</v>
      </c>
      <c r="K159" s="124" t="s">
        <v>24</v>
      </c>
      <c r="L159" s="125"/>
    </row>
    <row r="160" hidden="1">
      <c r="A160" s="132"/>
      <c r="B160" s="121"/>
      <c r="C160" s="124" t="s">
        <v>418</v>
      </c>
      <c r="D160" s="130"/>
      <c r="E160" s="106" t="str">
        <f t="shared" si="15"/>
        <v>02</v>
      </c>
      <c r="F160" s="107"/>
      <c r="G160" s="108" t="s">
        <v>315</v>
      </c>
      <c r="H160" s="91" t="s">
        <v>315</v>
      </c>
      <c r="I160" s="105" t="s">
        <v>314</v>
      </c>
      <c r="J160" s="133" t="s">
        <v>67</v>
      </c>
      <c r="K160" s="124" t="s">
        <v>40</v>
      </c>
      <c r="L160" s="125"/>
    </row>
    <row r="161" hidden="1">
      <c r="A161" s="132"/>
      <c r="B161" s="121"/>
      <c r="C161" s="124" t="s">
        <v>419</v>
      </c>
      <c r="D161" s="130"/>
      <c r="E161" s="131"/>
      <c r="F161" s="107"/>
      <c r="G161" s="108"/>
      <c r="H161" s="91"/>
      <c r="I161" s="105"/>
      <c r="J161" s="133" t="s">
        <v>55</v>
      </c>
      <c r="K161" s="124" t="s">
        <v>45</v>
      </c>
      <c r="L161" s="125"/>
    </row>
    <row r="162" hidden="1">
      <c r="A162" s="132"/>
      <c r="B162" s="121"/>
      <c r="C162" s="124" t="s">
        <v>420</v>
      </c>
      <c r="D162" s="130"/>
      <c r="E162" s="106" t="str">
        <f>HYPERLINK("https://docs.google.com/document/d/1Z3n2KeW5cDRzNZ6AU9sa0rNjQ1su0bB8XnLzSlf5Uss/edit?usp=sharing","01")</f>
        <v>01</v>
      </c>
      <c r="F162" s="91" t="s">
        <v>318</v>
      </c>
      <c r="G162" s="108" t="s">
        <v>315</v>
      </c>
      <c r="H162" s="91" t="s">
        <v>315</v>
      </c>
      <c r="I162" s="105" t="s">
        <v>314</v>
      </c>
      <c r="J162" s="133" t="s">
        <v>62</v>
      </c>
      <c r="K162" s="124" t="s">
        <v>33</v>
      </c>
      <c r="L162" s="125"/>
    </row>
    <row r="163" hidden="1">
      <c r="A163" s="132"/>
      <c r="B163" s="121"/>
      <c r="C163" s="124" t="s">
        <v>258</v>
      </c>
      <c r="D163" s="130"/>
      <c r="E163" s="131"/>
      <c r="F163" s="107"/>
      <c r="G163" s="108"/>
      <c r="H163" s="91"/>
      <c r="I163" s="105"/>
      <c r="J163" s="133" t="s">
        <v>39</v>
      </c>
      <c r="K163" s="124" t="s">
        <v>31</v>
      </c>
      <c r="L163" s="125"/>
    </row>
    <row r="164" hidden="1">
      <c r="A164" s="132"/>
      <c r="B164" s="121"/>
      <c r="C164" s="124" t="s">
        <v>125</v>
      </c>
      <c r="D164" s="130"/>
      <c r="E164" s="131"/>
      <c r="F164" s="107"/>
      <c r="G164" s="108"/>
      <c r="H164" s="91"/>
      <c r="I164" s="105"/>
      <c r="J164" s="133" t="s">
        <v>36</v>
      </c>
      <c r="K164" s="124" t="s">
        <v>28</v>
      </c>
      <c r="L164" s="125"/>
    </row>
    <row r="165" hidden="1">
      <c r="A165" s="129" t="str">
        <f>HYPERLINK("https://docs.google.com/spreadsheets/d/11kgSN1g0GK37sClxLbfy_k06SXw_K3r3T_SwH58G6SM/edit?usp=sharing","14")</f>
        <v>14</v>
      </c>
      <c r="B165" s="121"/>
      <c r="C165" s="124" t="s">
        <v>421</v>
      </c>
      <c r="D165" s="130"/>
      <c r="E165" s="131"/>
      <c r="F165" s="107"/>
      <c r="G165" s="108"/>
      <c r="H165" s="91"/>
      <c r="I165" s="105"/>
      <c r="J165" s="133" t="s">
        <v>422</v>
      </c>
      <c r="K165" s="124" t="s">
        <v>60</v>
      </c>
      <c r="L165" s="125"/>
    </row>
    <row r="166" hidden="1">
      <c r="A166" s="132"/>
      <c r="B166" s="121"/>
      <c r="C166" s="124" t="s">
        <v>423</v>
      </c>
      <c r="D166" s="130"/>
      <c r="E166" s="106" t="str">
        <f>HYPERLINK("https://docs.google.com/document/d/1mXt_wLYKAnmZVgxmrL3h6qDnzeZm9Cvd98cr8q_YfQ8/edit?usp=sharing","01")</f>
        <v>01</v>
      </c>
      <c r="F166" s="91" t="s">
        <v>318</v>
      </c>
      <c r="G166" s="108" t="s">
        <v>315</v>
      </c>
      <c r="H166" s="91" t="s">
        <v>315</v>
      </c>
      <c r="I166" s="105" t="s">
        <v>314</v>
      </c>
      <c r="J166" s="133" t="s">
        <v>424</v>
      </c>
      <c r="K166" s="124" t="s">
        <v>60</v>
      </c>
      <c r="L166" s="125"/>
    </row>
    <row r="167" hidden="1">
      <c r="A167" s="132"/>
      <c r="B167" s="121"/>
      <c r="C167" s="124" t="s">
        <v>425</v>
      </c>
      <c r="D167" s="130"/>
      <c r="E167" s="131"/>
      <c r="F167" s="107"/>
      <c r="G167" s="108"/>
      <c r="H167" s="91"/>
      <c r="I167" s="105"/>
      <c r="J167" s="133" t="s">
        <v>426</v>
      </c>
      <c r="K167" s="124" t="s">
        <v>60</v>
      </c>
      <c r="L167" s="125"/>
    </row>
    <row r="168" hidden="1">
      <c r="A168" s="132"/>
      <c r="B168" s="121"/>
      <c r="C168" s="124" t="s">
        <v>427</v>
      </c>
      <c r="D168" s="130"/>
      <c r="E168" s="131"/>
      <c r="F168" s="107"/>
      <c r="G168" s="108"/>
      <c r="H168" s="91"/>
      <c r="I168" s="105"/>
      <c r="J168" s="133" t="s">
        <v>428</v>
      </c>
      <c r="K168" s="124" t="s">
        <v>48</v>
      </c>
      <c r="L168" s="125"/>
    </row>
    <row r="169" hidden="1">
      <c r="A169" s="132"/>
      <c r="B169" s="121"/>
      <c r="C169" s="124" t="s">
        <v>429</v>
      </c>
      <c r="D169" s="130"/>
      <c r="E169" s="131"/>
      <c r="F169" s="107"/>
      <c r="G169" s="108"/>
      <c r="H169" s="91"/>
      <c r="I169" s="105"/>
      <c r="J169" s="133" t="s">
        <v>430</v>
      </c>
      <c r="K169" s="124" t="s">
        <v>43</v>
      </c>
      <c r="L169" s="125"/>
    </row>
    <row r="170" hidden="1">
      <c r="A170" s="132"/>
      <c r="B170" s="121"/>
      <c r="C170" s="124" t="s">
        <v>431</v>
      </c>
      <c r="D170" s="130"/>
      <c r="E170" s="131"/>
      <c r="F170" s="107"/>
      <c r="G170" s="108"/>
      <c r="H170" s="91"/>
      <c r="I170" s="105"/>
      <c r="J170" s="133" t="s">
        <v>432</v>
      </c>
      <c r="K170" s="124" t="s">
        <v>58</v>
      </c>
      <c r="L170" s="125"/>
    </row>
    <row r="171" hidden="1">
      <c r="A171" s="132"/>
      <c r="B171" s="121"/>
      <c r="C171" s="124" t="s">
        <v>433</v>
      </c>
      <c r="D171" s="130"/>
      <c r="E171" s="106" t="str">
        <f>HYPERLINK("https://docs.google.com/document/d/1mXt_wLYKAnmZVgxmrL3h6qDnzeZm9Cvd98cr8q_YfQ8/edit?usp=sharing","01")</f>
        <v>01</v>
      </c>
      <c r="F171" s="91" t="s">
        <v>318</v>
      </c>
      <c r="G171" s="108" t="s">
        <v>314</v>
      </c>
      <c r="H171" s="91" t="s">
        <v>314</v>
      </c>
      <c r="I171" s="105" t="s">
        <v>315</v>
      </c>
      <c r="J171" s="133" t="s">
        <v>434</v>
      </c>
      <c r="K171" s="124" t="s">
        <v>46</v>
      </c>
      <c r="L171" s="125"/>
    </row>
    <row r="172" hidden="1">
      <c r="A172" s="132"/>
      <c r="B172" s="121"/>
      <c r="C172" s="124" t="s">
        <v>435</v>
      </c>
      <c r="D172" s="130"/>
      <c r="E172" s="131"/>
      <c r="F172" s="107"/>
      <c r="G172" s="108"/>
      <c r="H172" s="91"/>
      <c r="I172" s="105"/>
      <c r="J172" s="133" t="s">
        <v>436</v>
      </c>
      <c r="K172" s="124" t="s">
        <v>37</v>
      </c>
      <c r="L172" s="125"/>
    </row>
    <row r="173" hidden="1">
      <c r="A173" s="132"/>
      <c r="B173" s="121"/>
      <c r="C173" s="124" t="s">
        <v>437</v>
      </c>
      <c r="D173" s="130"/>
      <c r="E173" s="106" t="str">
        <f>HYPERLINK("https://docs.google.com/document/d/1mXt_wLYKAnmZVgxmrL3h6qDnzeZm9Cvd98cr8q_YfQ8/edit?usp=sharing","01")</f>
        <v>01</v>
      </c>
      <c r="F173" s="91" t="s">
        <v>318</v>
      </c>
      <c r="G173" s="108" t="s">
        <v>315</v>
      </c>
      <c r="H173" s="91" t="s">
        <v>315</v>
      </c>
      <c r="I173" s="105" t="s">
        <v>314</v>
      </c>
      <c r="J173" s="133" t="s">
        <v>438</v>
      </c>
      <c r="K173" s="124" t="s">
        <v>24</v>
      </c>
      <c r="L173" s="125"/>
    </row>
    <row r="174" hidden="1">
      <c r="A174" s="132"/>
      <c r="B174" s="121"/>
      <c r="C174" s="124" t="s">
        <v>439</v>
      </c>
      <c r="D174" s="130"/>
      <c r="E174" s="131"/>
      <c r="F174" s="107"/>
      <c r="G174" s="108"/>
      <c r="H174" s="91"/>
      <c r="I174" s="105"/>
      <c r="J174" s="133" t="s">
        <v>440</v>
      </c>
      <c r="K174" s="124" t="s">
        <v>40</v>
      </c>
      <c r="L174" s="125"/>
    </row>
    <row r="175" hidden="1">
      <c r="A175" s="132"/>
      <c r="B175" s="121"/>
      <c r="C175" s="124" t="s">
        <v>441</v>
      </c>
      <c r="D175" s="130"/>
      <c r="E175" s="131"/>
      <c r="F175" s="107"/>
      <c r="G175" s="108"/>
      <c r="H175" s="91"/>
      <c r="I175" s="105"/>
      <c r="J175" s="133" t="s">
        <v>32</v>
      </c>
      <c r="K175" s="124" t="s">
        <v>50</v>
      </c>
      <c r="L175" s="125"/>
    </row>
    <row r="176" hidden="1">
      <c r="A176" s="129" t="str">
        <f>HYPERLINK("https://docs.google.com/spreadsheets/d/1uf0PUce8Amvbd8HKP43YboFMwneOC6oSjEUR9m-v1-M/edit?usp=sharing","15")</f>
        <v>15</v>
      </c>
      <c r="B176" s="121"/>
      <c r="C176" s="124" t="s">
        <v>442</v>
      </c>
      <c r="D176" s="130"/>
      <c r="E176" s="131"/>
      <c r="F176" s="107"/>
      <c r="G176" s="108"/>
      <c r="H176" s="91"/>
      <c r="I176" s="105"/>
      <c r="J176" s="133" t="s">
        <v>78</v>
      </c>
      <c r="K176" s="124" t="s">
        <v>60</v>
      </c>
      <c r="L176" s="125"/>
    </row>
    <row r="177" hidden="1">
      <c r="A177" s="132"/>
      <c r="B177" s="121"/>
      <c r="C177" s="124" t="s">
        <v>443</v>
      </c>
      <c r="D177" s="130"/>
      <c r="E177" s="106" t="str">
        <f>HYPERLINK("https://docs.google.com/document/d/1H44kN6wltrkST0m8f1-UN3n8dPy9Y50SvhFzlBQjBRk/edit?usp=sharing","01")</f>
        <v>01</v>
      </c>
      <c r="F177" s="91" t="s">
        <v>318</v>
      </c>
      <c r="G177" s="108" t="s">
        <v>314</v>
      </c>
      <c r="H177" s="91" t="s">
        <v>314</v>
      </c>
      <c r="I177" s="105" t="s">
        <v>315</v>
      </c>
      <c r="J177" s="133" t="s">
        <v>61</v>
      </c>
      <c r="K177" s="124" t="s">
        <v>84</v>
      </c>
      <c r="L177" s="125"/>
    </row>
    <row r="178" hidden="1">
      <c r="A178" s="132"/>
      <c r="B178" s="121"/>
      <c r="C178" s="124" t="s">
        <v>213</v>
      </c>
      <c r="D178" s="130"/>
      <c r="E178" s="131"/>
      <c r="F178" s="107"/>
      <c r="G178" s="108"/>
      <c r="H178" s="91"/>
      <c r="I178" s="105"/>
      <c r="J178" s="133" t="s">
        <v>57</v>
      </c>
      <c r="K178" s="124" t="s">
        <v>58</v>
      </c>
      <c r="L178" s="125"/>
    </row>
    <row r="179" hidden="1">
      <c r="A179" s="132"/>
      <c r="B179" s="121"/>
      <c r="C179" s="124" t="s">
        <v>444</v>
      </c>
      <c r="D179" s="130"/>
      <c r="E179" s="106" t="str">
        <f>HYPERLINK("https://docs.google.com/document/d/1H44kN6wltrkST0m8f1-UN3n8dPy9Y50SvhFzlBQjBRk/edit?usp=sharing","01")</f>
        <v>01</v>
      </c>
      <c r="F179" s="91" t="s">
        <v>318</v>
      </c>
      <c r="G179" s="108" t="s">
        <v>314</v>
      </c>
      <c r="H179" s="91" t="s">
        <v>314</v>
      </c>
      <c r="I179" s="105" t="s">
        <v>315</v>
      </c>
      <c r="J179" s="133" t="s">
        <v>59</v>
      </c>
      <c r="K179" s="124" t="s">
        <v>46</v>
      </c>
      <c r="L179" s="125"/>
    </row>
    <row r="180" hidden="1">
      <c r="A180" s="132"/>
      <c r="B180" s="121"/>
      <c r="C180" s="124" t="s">
        <v>260</v>
      </c>
      <c r="D180" s="130"/>
      <c r="E180" s="131"/>
      <c r="F180" s="107"/>
      <c r="G180" s="108"/>
      <c r="H180" s="91"/>
      <c r="I180" s="105"/>
      <c r="J180" s="133" t="s">
        <v>52</v>
      </c>
      <c r="K180" s="124" t="s">
        <v>37</v>
      </c>
      <c r="L180" s="125"/>
    </row>
    <row r="181" hidden="1">
      <c r="A181" s="132"/>
      <c r="B181" s="121"/>
      <c r="C181" s="124" t="s">
        <v>445</v>
      </c>
      <c r="D181" s="130"/>
      <c r="E181" s="131"/>
      <c r="F181" s="107"/>
      <c r="G181" s="108"/>
      <c r="H181" s="91"/>
      <c r="I181" s="105"/>
      <c r="J181" s="133" t="s">
        <v>38</v>
      </c>
      <c r="K181" s="124" t="s">
        <v>24</v>
      </c>
      <c r="L181" s="125"/>
    </row>
    <row r="182" hidden="1">
      <c r="A182" s="132"/>
      <c r="B182" s="121"/>
      <c r="C182" s="124" t="s">
        <v>157</v>
      </c>
      <c r="D182" s="130"/>
      <c r="E182" s="131"/>
      <c r="F182" s="107"/>
      <c r="G182" s="108"/>
      <c r="H182" s="91"/>
      <c r="I182" s="105"/>
      <c r="J182" s="133" t="s">
        <v>25</v>
      </c>
      <c r="K182" s="124" t="s">
        <v>33</v>
      </c>
      <c r="L182" s="125"/>
    </row>
    <row r="183" hidden="1">
      <c r="A183" s="132"/>
      <c r="B183" s="121"/>
      <c r="C183" s="124" t="s">
        <v>193</v>
      </c>
      <c r="D183" s="130"/>
      <c r="E183" s="131"/>
      <c r="F183" s="107"/>
      <c r="G183" s="108"/>
      <c r="H183" s="91"/>
      <c r="I183" s="105"/>
      <c r="J183" s="133" t="s">
        <v>27</v>
      </c>
      <c r="K183" s="124" t="s">
        <v>31</v>
      </c>
      <c r="L183" s="125"/>
    </row>
    <row r="184" hidden="1">
      <c r="A184" s="129" t="str">
        <f>HYPERLINK("https://docs.google.com/spreadsheets/d/1J9oyQ-TtIbWGyrhdaC75rNF3E-jIKGfpiGza5Cf0tPc/edit?usp=sharing","16")</f>
        <v>16</v>
      </c>
      <c r="B184" s="121"/>
      <c r="C184" s="124" t="s">
        <v>446</v>
      </c>
      <c r="D184" s="130"/>
      <c r="E184" s="106" t="str">
        <f>HYPERLINK("https://docs.google.com/document/d/1QbVAF7K1g_M_E0RJeBcI6FszeFOw0x3Pi6OHMM0uGGs/edit?usp=sharing","01")</f>
        <v>01</v>
      </c>
      <c r="F184" s="91" t="s">
        <v>318</v>
      </c>
      <c r="G184" s="108" t="s">
        <v>315</v>
      </c>
      <c r="H184" s="91" t="s">
        <v>315</v>
      </c>
      <c r="I184" s="105" t="s">
        <v>314</v>
      </c>
      <c r="J184" s="133" t="s">
        <v>131</v>
      </c>
      <c r="K184" s="124" t="s">
        <v>60</v>
      </c>
      <c r="L184" s="125"/>
    </row>
    <row r="185" hidden="1">
      <c r="A185" s="132"/>
      <c r="B185" s="121"/>
      <c r="C185" s="124" t="s">
        <v>300</v>
      </c>
      <c r="D185" s="130"/>
      <c r="E185" s="131"/>
      <c r="F185" s="107"/>
      <c r="G185" s="108"/>
      <c r="H185" s="91"/>
      <c r="I185" s="105"/>
      <c r="J185" s="133" t="s">
        <v>124</v>
      </c>
      <c r="K185" s="124" t="s">
        <v>60</v>
      </c>
      <c r="L185" s="125"/>
    </row>
    <row r="186" hidden="1">
      <c r="A186" s="132"/>
      <c r="B186" s="121"/>
      <c r="C186" s="124" t="s">
        <v>447</v>
      </c>
      <c r="D186" s="130"/>
      <c r="E186" s="106" t="str">
        <f>HYPERLINK("https://docs.google.com/document/d/1QbVAF7K1g_M_E0RJeBcI6FszeFOw0x3Pi6OHMM0uGGs/edit?usp=sharing","01")</f>
        <v>01</v>
      </c>
      <c r="F186" s="91" t="s">
        <v>318</v>
      </c>
      <c r="G186" s="108" t="s">
        <v>315</v>
      </c>
      <c r="H186" s="91" t="s">
        <v>315</v>
      </c>
      <c r="I186" s="105" t="s">
        <v>314</v>
      </c>
      <c r="J186" s="133" t="s">
        <v>111</v>
      </c>
      <c r="K186" s="124" t="s">
        <v>60</v>
      </c>
      <c r="L186" s="125"/>
    </row>
    <row r="187" hidden="1">
      <c r="A187" s="132"/>
      <c r="B187" s="121"/>
      <c r="C187" s="124" t="s">
        <v>448</v>
      </c>
      <c r="D187" s="130"/>
      <c r="E187" s="131"/>
      <c r="F187" s="107"/>
      <c r="G187" s="108"/>
      <c r="H187" s="91"/>
      <c r="I187" s="105"/>
      <c r="J187" s="133" t="s">
        <v>100</v>
      </c>
      <c r="K187" s="124" t="s">
        <v>60</v>
      </c>
      <c r="L187" s="125"/>
    </row>
    <row r="188" hidden="1">
      <c r="A188" s="132"/>
      <c r="B188" s="121"/>
      <c r="C188" s="124" t="s">
        <v>449</v>
      </c>
      <c r="D188" s="130"/>
      <c r="E188" s="131"/>
      <c r="F188" s="107"/>
      <c r="G188" s="108"/>
      <c r="H188" s="91"/>
      <c r="I188" s="105"/>
      <c r="J188" s="133" t="s">
        <v>82</v>
      </c>
      <c r="K188" s="124" t="s">
        <v>60</v>
      </c>
      <c r="L188" s="125"/>
    </row>
    <row r="189" hidden="1">
      <c r="A189" s="132"/>
      <c r="B189" s="121"/>
      <c r="C189" s="124" t="s">
        <v>160</v>
      </c>
      <c r="D189" s="130"/>
      <c r="E189" s="131"/>
      <c r="F189" s="107"/>
      <c r="G189" s="108"/>
      <c r="H189" s="91"/>
      <c r="I189" s="105"/>
      <c r="J189" s="133" t="s">
        <v>69</v>
      </c>
      <c r="K189" s="124" t="s">
        <v>60</v>
      </c>
      <c r="L189" s="125"/>
    </row>
    <row r="190" hidden="1">
      <c r="A190" s="132"/>
      <c r="B190" s="121"/>
      <c r="C190" s="124" t="s">
        <v>202</v>
      </c>
      <c r="D190" s="130"/>
      <c r="E190" s="131"/>
      <c r="F190" s="107"/>
      <c r="G190" s="108"/>
      <c r="H190" s="91"/>
      <c r="I190" s="105"/>
      <c r="J190" s="133" t="s">
        <v>86</v>
      </c>
      <c r="K190" s="124" t="s">
        <v>84</v>
      </c>
      <c r="L190" s="125"/>
    </row>
    <row r="191" hidden="1">
      <c r="A191" s="132"/>
      <c r="B191" s="121"/>
      <c r="C191" s="124" t="s">
        <v>450</v>
      </c>
      <c r="D191" s="130"/>
      <c r="E191" s="131"/>
      <c r="F191" s="107"/>
      <c r="G191" s="108"/>
      <c r="H191" s="91"/>
      <c r="I191" s="105"/>
      <c r="J191" s="133" t="s">
        <v>71</v>
      </c>
      <c r="K191" s="124" t="s">
        <v>43</v>
      </c>
      <c r="L191" s="125"/>
    </row>
    <row r="192" hidden="1">
      <c r="A192" s="132"/>
      <c r="B192" s="121"/>
      <c r="C192" s="124" t="s">
        <v>213</v>
      </c>
      <c r="D192" s="130"/>
      <c r="E192" s="131"/>
      <c r="F192" s="107"/>
      <c r="G192" s="108"/>
      <c r="H192" s="91"/>
      <c r="I192" s="105"/>
      <c r="J192" s="133" t="s">
        <v>44</v>
      </c>
      <c r="K192" s="124" t="s">
        <v>58</v>
      </c>
      <c r="L192" s="125"/>
    </row>
    <row r="193" hidden="1">
      <c r="A193" s="132"/>
      <c r="B193" s="121"/>
      <c r="C193" s="124" t="s">
        <v>451</v>
      </c>
      <c r="D193" s="130"/>
      <c r="E193" s="131"/>
      <c r="F193" s="107"/>
      <c r="G193" s="108"/>
      <c r="H193" s="91"/>
      <c r="I193" s="105"/>
      <c r="J193" s="133" t="s">
        <v>65</v>
      </c>
      <c r="K193" s="124" t="s">
        <v>46</v>
      </c>
      <c r="L193" s="125"/>
    </row>
    <row r="194" hidden="1">
      <c r="A194" s="132"/>
      <c r="B194" s="121"/>
      <c r="C194" s="124" t="s">
        <v>203</v>
      </c>
      <c r="D194" s="130"/>
      <c r="E194" s="131"/>
      <c r="F194" s="107"/>
      <c r="G194" s="108"/>
      <c r="H194" s="91"/>
      <c r="I194" s="105"/>
      <c r="J194" s="133" t="s">
        <v>67</v>
      </c>
      <c r="K194" s="124" t="s">
        <v>37</v>
      </c>
      <c r="L194" s="125"/>
    </row>
    <row r="195" hidden="1">
      <c r="A195" s="132"/>
      <c r="B195" s="121"/>
      <c r="C195" s="124" t="s">
        <v>452</v>
      </c>
      <c r="D195" s="130"/>
      <c r="E195" s="106" t="str">
        <f>HYPERLINK("https://docs.google.com/document/d/1QbVAF7K1g_M_E0RJeBcI6FszeFOw0x3Pi6OHMM0uGGs/edit?usp=sharing","01")</f>
        <v>01</v>
      </c>
      <c r="F195" s="91" t="s">
        <v>318</v>
      </c>
      <c r="G195" s="108" t="s">
        <v>315</v>
      </c>
      <c r="H195" s="91" t="s">
        <v>315</v>
      </c>
      <c r="I195" s="105" t="s">
        <v>314</v>
      </c>
      <c r="J195" s="133" t="s">
        <v>55</v>
      </c>
      <c r="K195" s="124" t="s">
        <v>24</v>
      </c>
      <c r="L195" s="125"/>
    </row>
    <row r="196" hidden="1">
      <c r="A196" s="132"/>
      <c r="B196" s="121"/>
      <c r="C196" s="124" t="s">
        <v>184</v>
      </c>
      <c r="D196" s="130"/>
      <c r="E196" s="131"/>
      <c r="F196" s="107"/>
      <c r="G196" s="108"/>
      <c r="H196" s="91"/>
      <c r="I196" s="105"/>
      <c r="J196" s="133" t="s">
        <v>62</v>
      </c>
      <c r="K196" s="124" t="s">
        <v>40</v>
      </c>
      <c r="L196" s="125"/>
    </row>
    <row r="197" hidden="1">
      <c r="A197" s="132"/>
      <c r="B197" s="121"/>
      <c r="C197" s="124" t="s">
        <v>157</v>
      </c>
      <c r="D197" s="130"/>
      <c r="E197" s="106" t="str">
        <f>HYPERLINK("https://docs.google.com/document/d/1QbVAF7K1g_M_E0RJeBcI6FszeFOw0x3Pi6OHMM0uGGs/edit?usp=sharing","01")</f>
        <v>01</v>
      </c>
      <c r="F197" s="91" t="s">
        <v>318</v>
      </c>
      <c r="G197" s="108" t="s">
        <v>314</v>
      </c>
      <c r="H197" s="91" t="s">
        <v>314</v>
      </c>
      <c r="I197" s="91" t="s">
        <v>315</v>
      </c>
      <c r="J197" s="133" t="s">
        <v>39</v>
      </c>
      <c r="K197" s="124" t="s">
        <v>26</v>
      </c>
      <c r="L197" s="125"/>
    </row>
    <row r="198" hidden="1">
      <c r="A198" s="132"/>
      <c r="B198" s="121"/>
      <c r="C198" s="124" t="s">
        <v>101</v>
      </c>
      <c r="D198" s="130"/>
      <c r="E198" s="131"/>
      <c r="F198" s="107"/>
      <c r="G198" s="108"/>
      <c r="H198" s="91"/>
      <c r="I198" s="105"/>
      <c r="J198" s="133" t="s">
        <v>36</v>
      </c>
      <c r="K198" s="124" t="s">
        <v>28</v>
      </c>
      <c r="L198" s="125"/>
    </row>
    <row r="199" hidden="1">
      <c r="A199" s="129" t="str">
        <f>HYPERLINK("https://docs.google.com/spreadsheets/d/1ERgQdXeAWbVo-QiaitRphUS1E5b1SngyK3FFWH-uwlc/edit?usp=sharing","17")</f>
        <v>17</v>
      </c>
      <c r="B199" s="121"/>
      <c r="C199" s="124" t="s">
        <v>453</v>
      </c>
      <c r="D199" s="130"/>
      <c r="E199" s="106" t="str">
        <f t="shared" ref="E199:E200" si="16">HYPERLINK("https://docs.google.com/document/d/1S7fxV90ofO7mDnPOjfBMRzHc9aYWHtEg107iDKe-DvA/edit?usp=sharing","01")</f>
        <v>01</v>
      </c>
      <c r="F199" s="91" t="s">
        <v>318</v>
      </c>
      <c r="G199" s="108" t="s">
        <v>315</v>
      </c>
      <c r="H199" s="91" t="s">
        <v>315</v>
      </c>
      <c r="I199" s="105" t="s">
        <v>314</v>
      </c>
      <c r="J199" s="133" t="s">
        <v>136</v>
      </c>
      <c r="K199" s="124" t="s">
        <v>60</v>
      </c>
      <c r="L199" s="125"/>
    </row>
    <row r="200" hidden="1">
      <c r="A200" s="132"/>
      <c r="B200" s="121"/>
      <c r="C200" s="124" t="s">
        <v>454</v>
      </c>
      <c r="D200" s="130"/>
      <c r="E200" s="106" t="str">
        <f t="shared" si="16"/>
        <v>01</v>
      </c>
      <c r="F200" s="91" t="s">
        <v>318</v>
      </c>
      <c r="G200" s="108" t="s">
        <v>315</v>
      </c>
      <c r="H200" s="91" t="s">
        <v>315</v>
      </c>
      <c r="I200" s="105" t="s">
        <v>314</v>
      </c>
      <c r="J200" s="133" t="s">
        <v>113</v>
      </c>
      <c r="K200" s="124" t="s">
        <v>60</v>
      </c>
      <c r="L200" s="125"/>
    </row>
    <row r="201" hidden="1">
      <c r="A201" s="132"/>
      <c r="B201" s="121"/>
      <c r="C201" s="124" t="s">
        <v>455</v>
      </c>
      <c r="D201" s="130"/>
      <c r="E201" s="131"/>
      <c r="F201" s="107"/>
      <c r="G201" s="108"/>
      <c r="H201" s="91"/>
      <c r="I201" s="105"/>
      <c r="J201" s="133" t="s">
        <v>114</v>
      </c>
      <c r="K201" s="124" t="s">
        <v>60</v>
      </c>
      <c r="L201" s="125"/>
    </row>
    <row r="202" hidden="1">
      <c r="A202" s="132"/>
      <c r="B202" s="121"/>
      <c r="C202" s="124" t="s">
        <v>456</v>
      </c>
      <c r="D202" s="130"/>
      <c r="E202" s="106" t="str">
        <f>HYPERLINK("https://docs.google.com/document/d/1S7fxV90ofO7mDnPOjfBMRzHc9aYWHtEg107iDKe-DvA/edit?usp=sharing","01")</f>
        <v>01</v>
      </c>
      <c r="F202" s="91" t="s">
        <v>318</v>
      </c>
      <c r="G202" s="108" t="s">
        <v>315</v>
      </c>
      <c r="H202" s="91" t="s">
        <v>315</v>
      </c>
      <c r="I202" s="105" t="s">
        <v>314</v>
      </c>
      <c r="J202" s="133" t="s">
        <v>91</v>
      </c>
      <c r="K202" s="124" t="s">
        <v>60</v>
      </c>
      <c r="L202" s="125"/>
    </row>
    <row r="203" hidden="1">
      <c r="A203" s="132"/>
      <c r="B203" s="121"/>
      <c r="C203" s="124" t="s">
        <v>457</v>
      </c>
      <c r="D203" s="130"/>
      <c r="E203" s="131"/>
      <c r="F203" s="107"/>
      <c r="G203" s="108"/>
      <c r="H203" s="91"/>
      <c r="I203" s="105"/>
      <c r="J203" s="133" t="s">
        <v>105</v>
      </c>
      <c r="K203" s="124" t="s">
        <v>60</v>
      </c>
      <c r="L203" s="125"/>
    </row>
    <row r="204" hidden="1">
      <c r="A204" s="132"/>
      <c r="B204" s="121"/>
      <c r="C204" s="124" t="s">
        <v>458</v>
      </c>
      <c r="D204" s="130"/>
      <c r="E204" s="106" t="str">
        <f>HYPERLINK("https://docs.google.com/document/d/1S7fxV90ofO7mDnPOjfBMRzHc9aYWHtEg107iDKe-DvA/edit?usp=sharing","01")</f>
        <v>01</v>
      </c>
      <c r="F204" s="91" t="s">
        <v>318</v>
      </c>
      <c r="G204" s="108" t="s">
        <v>314</v>
      </c>
      <c r="H204" s="91" t="s">
        <v>314</v>
      </c>
      <c r="I204" s="105" t="s">
        <v>315</v>
      </c>
      <c r="J204" s="133" t="s">
        <v>85</v>
      </c>
      <c r="K204" s="124" t="s">
        <v>60</v>
      </c>
      <c r="L204" s="125"/>
    </row>
    <row r="205" hidden="1">
      <c r="A205" s="132"/>
      <c r="B205" s="121"/>
      <c r="C205" s="124" t="s">
        <v>459</v>
      </c>
      <c r="D205" s="130"/>
      <c r="E205" s="131"/>
      <c r="F205" s="107"/>
      <c r="G205" s="108"/>
      <c r="H205" s="91"/>
      <c r="I205" s="105"/>
      <c r="J205" s="133" t="s">
        <v>83</v>
      </c>
      <c r="K205" s="124" t="s">
        <v>48</v>
      </c>
      <c r="L205" s="125"/>
    </row>
    <row r="206" hidden="1">
      <c r="A206" s="132"/>
      <c r="B206" s="121"/>
      <c r="C206" s="124" t="s">
        <v>191</v>
      </c>
      <c r="D206" s="130"/>
      <c r="E206" s="131"/>
      <c r="F206" s="107"/>
      <c r="G206" s="108"/>
      <c r="H206" s="91"/>
      <c r="I206" s="105"/>
      <c r="J206" s="133" t="s">
        <v>66</v>
      </c>
      <c r="K206" s="124" t="s">
        <v>58</v>
      </c>
      <c r="L206" s="125"/>
    </row>
    <row r="207" hidden="1">
      <c r="A207" s="132"/>
      <c r="B207" s="121"/>
      <c r="C207" s="124" t="s">
        <v>460</v>
      </c>
      <c r="D207" s="130"/>
      <c r="E207" s="131"/>
      <c r="F207" s="107"/>
      <c r="G207" s="108"/>
      <c r="H207" s="91"/>
      <c r="I207" s="105"/>
      <c r="J207" s="133" t="s">
        <v>56</v>
      </c>
      <c r="K207" s="124" t="s">
        <v>46</v>
      </c>
      <c r="L207" s="125"/>
    </row>
    <row r="208" hidden="1">
      <c r="A208" s="132"/>
      <c r="B208" s="121"/>
      <c r="C208" s="124" t="s">
        <v>461</v>
      </c>
      <c r="D208" s="130"/>
      <c r="E208" s="131"/>
      <c r="F208" s="107"/>
      <c r="G208" s="108"/>
      <c r="H208" s="91"/>
      <c r="I208" s="105"/>
      <c r="J208" s="133" t="s">
        <v>70</v>
      </c>
      <c r="K208" s="124" t="s">
        <v>37</v>
      </c>
      <c r="L208" s="125"/>
    </row>
    <row r="209" hidden="1">
      <c r="A209" s="132"/>
      <c r="B209" s="121"/>
      <c r="C209" s="124" t="s">
        <v>462</v>
      </c>
      <c r="D209" s="130"/>
      <c r="E209" s="131"/>
      <c r="F209" s="107"/>
      <c r="G209" s="108"/>
      <c r="H209" s="91"/>
      <c r="I209" s="105"/>
      <c r="J209" s="133" t="s">
        <v>41</v>
      </c>
      <c r="K209" s="124" t="s">
        <v>24</v>
      </c>
      <c r="L209" s="125"/>
    </row>
    <row r="210" hidden="1">
      <c r="A210" s="132"/>
      <c r="B210" s="121"/>
      <c r="C210" s="124" t="s">
        <v>282</v>
      </c>
      <c r="D210" s="130"/>
      <c r="E210" s="131"/>
      <c r="F210" s="107"/>
      <c r="G210" s="108"/>
      <c r="H210" s="91"/>
      <c r="I210" s="105"/>
      <c r="J210" s="133" t="s">
        <v>34</v>
      </c>
      <c r="K210" s="124" t="s">
        <v>33</v>
      </c>
      <c r="L210" s="125"/>
    </row>
    <row r="211" hidden="1">
      <c r="A211" s="132"/>
      <c r="B211" s="121"/>
      <c r="C211" s="124" t="s">
        <v>463</v>
      </c>
      <c r="D211" s="130"/>
      <c r="E211" s="106" t="str">
        <f>HYPERLINK("https://docs.google.com/document/d/1S7fxV90ofO7mDnPOjfBMRzHc9aYWHtEg107iDKe-DvA/edit?usp=sharing","01")</f>
        <v>01</v>
      </c>
      <c r="F211" s="91" t="s">
        <v>318</v>
      </c>
      <c r="G211" s="108" t="s">
        <v>314</v>
      </c>
      <c r="H211" s="91" t="s">
        <v>314</v>
      </c>
      <c r="I211" s="105" t="s">
        <v>315</v>
      </c>
      <c r="J211" s="133" t="s">
        <v>32</v>
      </c>
      <c r="K211" s="124" t="s">
        <v>31</v>
      </c>
      <c r="L211" s="125"/>
    </row>
    <row r="212" hidden="1">
      <c r="A212" s="132"/>
      <c r="B212" s="121"/>
      <c r="C212" s="124" t="s">
        <v>464</v>
      </c>
      <c r="D212" s="130"/>
      <c r="E212" s="131"/>
      <c r="F212" s="107"/>
      <c r="G212" s="108"/>
      <c r="H212" s="91"/>
      <c r="I212" s="105"/>
      <c r="J212" s="133" t="s">
        <v>29</v>
      </c>
      <c r="K212" s="124" t="s">
        <v>28</v>
      </c>
      <c r="L212" s="125"/>
    </row>
    <row r="213" hidden="1">
      <c r="A213" s="129" t="str">
        <f>HYPERLINK("https://docs.google.com/spreadsheets/d/1PQNnyH-N_MPqR4ieImWElHVQioH8xTE5nrApMio0bGU/edit?usp=sharing","18")</f>
        <v>18</v>
      </c>
      <c r="B213" s="121"/>
      <c r="C213" s="124" t="s">
        <v>465</v>
      </c>
      <c r="D213" s="130"/>
      <c r="E213" s="106" t="str">
        <f>HYPERLINK("https://docs.google.com/document/d/1X7mLYojGru1SkjSBB2teP2L3Fe3bMiuizpbOzgPV9s4/edit?usp=sharing","01")</f>
        <v>01</v>
      </c>
      <c r="F213" s="91" t="s">
        <v>318</v>
      </c>
      <c r="G213" s="108" t="s">
        <v>315</v>
      </c>
      <c r="H213" s="91" t="s">
        <v>315</v>
      </c>
      <c r="I213" s="105" t="s">
        <v>314</v>
      </c>
      <c r="J213" s="133" t="s">
        <v>139</v>
      </c>
      <c r="K213" s="124" t="s">
        <v>60</v>
      </c>
      <c r="L213" s="125"/>
    </row>
    <row r="214" hidden="1">
      <c r="A214" s="132"/>
      <c r="B214" s="121"/>
      <c r="C214" s="124" t="s">
        <v>466</v>
      </c>
      <c r="D214" s="130"/>
      <c r="E214" s="131"/>
      <c r="F214" s="107"/>
      <c r="G214" s="108"/>
      <c r="H214" s="91"/>
      <c r="I214" s="105"/>
      <c r="J214" s="133" t="s">
        <v>137</v>
      </c>
      <c r="K214" s="124" t="s">
        <v>60</v>
      </c>
      <c r="L214" s="125"/>
    </row>
    <row r="215" hidden="1">
      <c r="A215" s="132"/>
      <c r="B215" s="121"/>
      <c r="C215" s="124" t="s">
        <v>467</v>
      </c>
      <c r="D215" s="130"/>
      <c r="E215" s="131"/>
      <c r="F215" s="107"/>
      <c r="G215" s="108"/>
      <c r="H215" s="91"/>
      <c r="I215" s="105"/>
      <c r="J215" s="133" t="s">
        <v>107</v>
      </c>
      <c r="K215" s="124" t="s">
        <v>60</v>
      </c>
      <c r="L215" s="125"/>
    </row>
    <row r="216" hidden="1">
      <c r="A216" s="132"/>
      <c r="B216" s="121"/>
      <c r="C216" s="124" t="s">
        <v>468</v>
      </c>
      <c r="D216" s="130"/>
      <c r="E216" s="131"/>
      <c r="F216" s="107"/>
      <c r="G216" s="108"/>
      <c r="H216" s="91"/>
      <c r="I216" s="105"/>
      <c r="J216" s="133" t="s">
        <v>106</v>
      </c>
      <c r="K216" s="124" t="s">
        <v>60</v>
      </c>
      <c r="L216" s="125"/>
    </row>
    <row r="217" hidden="1">
      <c r="A217" s="132"/>
      <c r="B217" s="121"/>
      <c r="C217" s="124" t="s">
        <v>469</v>
      </c>
      <c r="D217" s="130"/>
      <c r="E217" s="131"/>
      <c r="F217" s="107"/>
      <c r="G217" s="108"/>
      <c r="H217" s="91"/>
      <c r="I217" s="105"/>
      <c r="J217" s="133" t="s">
        <v>78</v>
      </c>
      <c r="K217" s="124" t="s">
        <v>60</v>
      </c>
      <c r="L217" s="125"/>
    </row>
    <row r="218" hidden="1">
      <c r="A218" s="132"/>
      <c r="B218" s="121"/>
      <c r="C218" s="124" t="s">
        <v>470</v>
      </c>
      <c r="D218" s="130"/>
      <c r="E218" s="131"/>
      <c r="F218" s="107"/>
      <c r="G218" s="108"/>
      <c r="H218" s="91"/>
      <c r="I218" s="105"/>
      <c r="J218" s="133" t="s">
        <v>61</v>
      </c>
      <c r="K218" s="124" t="s">
        <v>60</v>
      </c>
      <c r="L218" s="125"/>
    </row>
    <row r="219" hidden="1">
      <c r="A219" s="132"/>
      <c r="B219" s="121"/>
      <c r="C219" s="124" t="s">
        <v>93</v>
      </c>
      <c r="D219" s="130"/>
      <c r="E219" s="131"/>
      <c r="F219" s="107"/>
      <c r="G219" s="108"/>
      <c r="H219" s="91"/>
      <c r="I219" s="105"/>
      <c r="J219" s="133" t="s">
        <v>49</v>
      </c>
      <c r="K219" s="124" t="s">
        <v>48</v>
      </c>
      <c r="L219" s="125"/>
    </row>
    <row r="220" hidden="1">
      <c r="A220" s="132"/>
      <c r="B220" s="121"/>
      <c r="C220" s="124" t="s">
        <v>471</v>
      </c>
      <c r="D220" s="130"/>
      <c r="E220" s="131"/>
      <c r="F220" s="107"/>
      <c r="G220" s="108"/>
      <c r="H220" s="91"/>
      <c r="I220" s="105"/>
      <c r="J220" s="133" t="s">
        <v>57</v>
      </c>
      <c r="K220" s="124" t="s">
        <v>43</v>
      </c>
      <c r="L220" s="125"/>
    </row>
    <row r="221" hidden="1">
      <c r="A221" s="132"/>
      <c r="B221" s="121"/>
      <c r="C221" s="124" t="s">
        <v>472</v>
      </c>
      <c r="D221" s="130"/>
      <c r="E221" s="106" t="str">
        <f>HYPERLINK("https://docs.google.com/document/d/1X7mLYojGru1SkjSBB2teP2L3Fe3bMiuizpbOzgPV9s4/edit?usp=sharing","01")</f>
        <v>01</v>
      </c>
      <c r="F221" s="91" t="s">
        <v>318</v>
      </c>
      <c r="G221" s="108" t="s">
        <v>315</v>
      </c>
      <c r="H221" s="91" t="s">
        <v>315</v>
      </c>
      <c r="I221" s="105" t="s">
        <v>314</v>
      </c>
      <c r="J221" s="133" t="s">
        <v>59</v>
      </c>
      <c r="K221" s="124" t="s">
        <v>58</v>
      </c>
      <c r="L221" s="125"/>
    </row>
    <row r="222" hidden="1">
      <c r="A222" s="132"/>
      <c r="B222" s="121"/>
      <c r="C222" s="124" t="s">
        <v>473</v>
      </c>
      <c r="D222" s="130"/>
      <c r="E222" s="131"/>
      <c r="F222" s="107"/>
      <c r="G222" s="108"/>
      <c r="H222" s="91"/>
      <c r="I222" s="105"/>
      <c r="J222" s="133" t="s">
        <v>38</v>
      </c>
      <c r="K222" s="124" t="s">
        <v>37</v>
      </c>
      <c r="L222" s="125"/>
    </row>
    <row r="223" hidden="1">
      <c r="A223" s="132"/>
      <c r="B223" s="121"/>
      <c r="C223" s="124" t="s">
        <v>474</v>
      </c>
      <c r="D223" s="130"/>
      <c r="E223" s="131"/>
      <c r="F223" s="107"/>
      <c r="G223" s="108"/>
      <c r="H223" s="91"/>
      <c r="I223" s="105"/>
      <c r="J223" s="133" t="s">
        <v>25</v>
      </c>
      <c r="K223" s="124" t="s">
        <v>24</v>
      </c>
      <c r="L223" s="125"/>
    </row>
    <row r="224" hidden="1">
      <c r="A224" s="129" t="str">
        <f>HYPERLINK("https://docs.google.com/spreadsheets/d/1ErNiiU5X-RH2sqOJEUpe74HRzMxT2715FFrDX7EPUQw/edit?usp=sharing","19")</f>
        <v>19</v>
      </c>
      <c r="B224" s="121"/>
      <c r="C224" s="124" t="s">
        <v>475</v>
      </c>
      <c r="D224" s="130"/>
      <c r="E224" s="106" t="str">
        <f>HYPERLINK("https://docs.google.com/document/d/1Mx7_s7E5B0hCvGyIBBR4f8MPK7TFbMO1d5hb03QsAd0/edit?usp=sharing","01")</f>
        <v>01</v>
      </c>
      <c r="F224" s="91" t="s">
        <v>318</v>
      </c>
      <c r="G224" s="108" t="s">
        <v>314</v>
      </c>
      <c r="H224" s="91" t="s">
        <v>315</v>
      </c>
      <c r="I224" s="105" t="s">
        <v>314</v>
      </c>
      <c r="J224" s="133" t="s">
        <v>103</v>
      </c>
      <c r="K224" s="124" t="s">
        <v>60</v>
      </c>
      <c r="L224" s="125"/>
    </row>
    <row r="225" hidden="1">
      <c r="A225" s="132"/>
      <c r="B225" s="121"/>
      <c r="C225" s="124" t="s">
        <v>476</v>
      </c>
      <c r="D225" s="130"/>
      <c r="E225" s="131"/>
      <c r="F225" s="107"/>
      <c r="G225" s="108"/>
      <c r="H225" s="91"/>
      <c r="I225" s="105"/>
      <c r="J225" s="133" t="s">
        <v>112</v>
      </c>
      <c r="K225" s="124" t="s">
        <v>60</v>
      </c>
      <c r="L225" s="125"/>
    </row>
    <row r="226" hidden="1">
      <c r="A226" s="132"/>
      <c r="B226" s="121"/>
      <c r="C226" s="124" t="s">
        <v>271</v>
      </c>
      <c r="D226" s="130"/>
      <c r="E226" s="131"/>
      <c r="F226" s="107"/>
      <c r="G226" s="108"/>
      <c r="H226" s="91"/>
      <c r="I226" s="105"/>
      <c r="J226" s="133" t="s">
        <v>111</v>
      </c>
      <c r="K226" s="124" t="s">
        <v>60</v>
      </c>
      <c r="L226" s="125"/>
    </row>
    <row r="227" hidden="1">
      <c r="A227" s="132"/>
      <c r="B227" s="121"/>
      <c r="C227" s="124" t="s">
        <v>477</v>
      </c>
      <c r="D227" s="130"/>
      <c r="E227" s="131"/>
      <c r="F227" s="107"/>
      <c r="G227" s="108"/>
      <c r="H227" s="91"/>
      <c r="I227" s="105"/>
      <c r="J227" s="133" t="s">
        <v>100</v>
      </c>
      <c r="K227" s="124" t="s">
        <v>60</v>
      </c>
      <c r="L227" s="125"/>
    </row>
    <row r="228" hidden="1">
      <c r="A228" s="132"/>
      <c r="B228" s="121"/>
      <c r="C228" s="124" t="s">
        <v>478</v>
      </c>
      <c r="D228" s="130"/>
      <c r="E228" s="131"/>
      <c r="F228" s="107"/>
      <c r="G228" s="108"/>
      <c r="H228" s="91"/>
      <c r="I228" s="105"/>
      <c r="J228" s="133" t="s">
        <v>82</v>
      </c>
      <c r="K228" s="124" t="s">
        <v>84</v>
      </c>
      <c r="L228" s="125"/>
    </row>
    <row r="229" hidden="1">
      <c r="A229" s="132"/>
      <c r="B229" s="121"/>
      <c r="C229" s="124" t="s">
        <v>479</v>
      </c>
      <c r="D229" s="130"/>
      <c r="E229" s="106" t="str">
        <f t="shared" ref="E229:E230" si="17">HYPERLINK("https://docs.google.com/document/d/1Mx7_s7E5B0hCvGyIBBR4f8MPK7TFbMO1d5hb03QsAd0/edit?usp=sharing","01")</f>
        <v>01</v>
      </c>
      <c r="F229" s="91" t="s">
        <v>318</v>
      </c>
      <c r="G229" s="108" t="s">
        <v>314</v>
      </c>
      <c r="H229" s="91" t="s">
        <v>315</v>
      </c>
      <c r="I229" s="105" t="s">
        <v>314</v>
      </c>
      <c r="J229" s="133" t="s">
        <v>69</v>
      </c>
      <c r="K229" s="124" t="s">
        <v>48</v>
      </c>
      <c r="L229" s="125"/>
    </row>
    <row r="230" hidden="1">
      <c r="A230" s="132"/>
      <c r="B230" s="121"/>
      <c r="C230" s="124" t="s">
        <v>243</v>
      </c>
      <c r="D230" s="130"/>
      <c r="E230" s="106" t="str">
        <f t="shared" si="17"/>
        <v>01</v>
      </c>
      <c r="F230" s="91" t="s">
        <v>318</v>
      </c>
      <c r="G230" s="108" t="s">
        <v>314</v>
      </c>
      <c r="H230" s="91" t="s">
        <v>315</v>
      </c>
      <c r="I230" s="105" t="s">
        <v>314</v>
      </c>
      <c r="J230" s="133" t="s">
        <v>86</v>
      </c>
      <c r="K230" s="124" t="s">
        <v>43</v>
      </c>
      <c r="L230" s="125"/>
    </row>
    <row r="231" hidden="1">
      <c r="A231" s="132"/>
      <c r="B231" s="121"/>
      <c r="C231" s="124" t="s">
        <v>480</v>
      </c>
      <c r="D231" s="130"/>
      <c r="E231" s="131"/>
      <c r="F231" s="107"/>
      <c r="G231" s="108"/>
      <c r="H231" s="91"/>
      <c r="I231" s="105"/>
      <c r="J231" s="133" t="s">
        <v>63</v>
      </c>
      <c r="K231" s="124" t="s">
        <v>58</v>
      </c>
      <c r="L231" s="125"/>
    </row>
    <row r="232" hidden="1">
      <c r="A232" s="132"/>
      <c r="B232" s="121"/>
      <c r="C232" s="124" t="s">
        <v>481</v>
      </c>
      <c r="D232" s="130"/>
      <c r="E232" s="131"/>
      <c r="F232" s="107"/>
      <c r="G232" s="108"/>
      <c r="H232" s="91"/>
      <c r="I232" s="105"/>
      <c r="J232" s="133" t="s">
        <v>71</v>
      </c>
      <c r="K232" s="124" t="s">
        <v>46</v>
      </c>
      <c r="L232" s="125"/>
    </row>
    <row r="233" hidden="1">
      <c r="A233" s="132"/>
      <c r="B233" s="121"/>
      <c r="C233" s="124" t="s">
        <v>482</v>
      </c>
      <c r="D233" s="130"/>
      <c r="E233" s="131"/>
      <c r="F233" s="107"/>
      <c r="G233" s="108"/>
      <c r="H233" s="91"/>
      <c r="I233" s="105"/>
      <c r="J233" s="133" t="s">
        <v>65</v>
      </c>
      <c r="K233" s="124" t="s">
        <v>24</v>
      </c>
      <c r="L233" s="125"/>
    </row>
    <row r="234" hidden="1">
      <c r="A234" s="132"/>
      <c r="B234" s="121"/>
      <c r="C234" s="124" t="s">
        <v>483</v>
      </c>
      <c r="D234" s="130"/>
      <c r="E234" s="131"/>
      <c r="F234" s="107"/>
      <c r="G234" s="108"/>
      <c r="H234" s="91"/>
      <c r="I234" s="105"/>
      <c r="J234" s="133" t="s">
        <v>67</v>
      </c>
      <c r="K234" s="124" t="s">
        <v>40</v>
      </c>
      <c r="L234" s="125"/>
    </row>
    <row r="235" hidden="1">
      <c r="A235" s="132"/>
      <c r="B235" s="121"/>
      <c r="C235" s="124" t="s">
        <v>484</v>
      </c>
      <c r="D235" s="130"/>
      <c r="E235" s="131"/>
      <c r="F235" s="107"/>
      <c r="G235" s="108"/>
      <c r="H235" s="91"/>
      <c r="I235" s="105"/>
      <c r="J235" s="133" t="s">
        <v>55</v>
      </c>
      <c r="K235" s="124" t="s">
        <v>45</v>
      </c>
      <c r="L235" s="125"/>
    </row>
    <row r="236" hidden="1">
      <c r="A236" s="132"/>
      <c r="B236" s="121"/>
      <c r="C236" s="124" t="s">
        <v>485</v>
      </c>
      <c r="D236" s="130"/>
      <c r="E236" s="106" t="str">
        <f>HYPERLINK("https://docs.google.com/document/d/1Mx7_s7E5B0hCvGyIBBR4f8MPK7TFbMO1d5hb03QsAd0/edit?usp=sharing","01")</f>
        <v>01</v>
      </c>
      <c r="F236" s="91" t="s">
        <v>318</v>
      </c>
      <c r="G236" s="108" t="s">
        <v>315</v>
      </c>
      <c r="H236" s="91" t="s">
        <v>314</v>
      </c>
      <c r="I236" s="105" t="s">
        <v>315</v>
      </c>
      <c r="J236" s="133" t="s">
        <v>36</v>
      </c>
      <c r="K236" s="124" t="s">
        <v>28</v>
      </c>
      <c r="L236" s="125"/>
    </row>
    <row r="237" hidden="1">
      <c r="A237" s="129" t="str">
        <f>HYPERLINK("https://docs.google.com/spreadsheets/d/1cyZhX7PoXyvXfWS1vj4xYnbYsHfLh8GcIspmX9GLb24/edit?usp=sharing","20")</f>
        <v>20</v>
      </c>
      <c r="B237" s="121"/>
      <c r="C237" s="124" t="s">
        <v>184</v>
      </c>
      <c r="D237" s="130"/>
      <c r="E237" s="131"/>
      <c r="F237" s="107"/>
      <c r="G237" s="108"/>
      <c r="H237" s="91"/>
      <c r="I237" s="105"/>
      <c r="J237" s="133" t="s">
        <v>96</v>
      </c>
      <c r="K237" s="124" t="s">
        <v>60</v>
      </c>
      <c r="L237" s="125"/>
    </row>
    <row r="238" hidden="1">
      <c r="A238" s="132"/>
      <c r="B238" s="121"/>
      <c r="C238" s="124" t="s">
        <v>93</v>
      </c>
      <c r="D238" s="130"/>
      <c r="E238" s="131"/>
      <c r="F238" s="107"/>
      <c r="G238" s="108"/>
      <c r="H238" s="91"/>
      <c r="I238" s="105"/>
      <c r="J238" s="133" t="s">
        <v>112</v>
      </c>
      <c r="K238" s="124" t="s">
        <v>60</v>
      </c>
      <c r="L238" s="125"/>
    </row>
    <row r="239" hidden="1">
      <c r="A239" s="132"/>
      <c r="B239" s="121"/>
      <c r="C239" s="124" t="s">
        <v>213</v>
      </c>
      <c r="D239" s="130"/>
      <c r="E239" s="131"/>
      <c r="F239" s="107"/>
      <c r="G239" s="108"/>
      <c r="H239" s="91"/>
      <c r="I239" s="105"/>
      <c r="J239" s="133" t="s">
        <v>111</v>
      </c>
      <c r="K239" s="124" t="s">
        <v>60</v>
      </c>
      <c r="L239" s="125"/>
    </row>
    <row r="240" hidden="1">
      <c r="A240" s="132"/>
      <c r="B240" s="121"/>
      <c r="C240" s="124" t="s">
        <v>193</v>
      </c>
      <c r="D240" s="130"/>
      <c r="E240" s="131"/>
      <c r="F240" s="107"/>
      <c r="G240" s="108"/>
      <c r="H240" s="91"/>
      <c r="I240" s="105"/>
      <c r="J240" s="133" t="s">
        <v>69</v>
      </c>
      <c r="K240" s="124" t="s">
        <v>48</v>
      </c>
      <c r="L240" s="125"/>
    </row>
    <row r="241" hidden="1">
      <c r="A241" s="132"/>
      <c r="B241" s="121"/>
      <c r="C241" s="124" t="s">
        <v>157</v>
      </c>
      <c r="D241" s="130"/>
      <c r="E241" s="131"/>
      <c r="F241" s="107"/>
      <c r="G241" s="108"/>
      <c r="H241" s="91"/>
      <c r="I241" s="105"/>
      <c r="J241" s="133" t="s">
        <v>63</v>
      </c>
      <c r="K241" s="124" t="s">
        <v>58</v>
      </c>
      <c r="L241" s="125"/>
    </row>
    <row r="242" hidden="1">
      <c r="A242" s="132"/>
      <c r="B242" s="121"/>
      <c r="C242" s="124" t="s">
        <v>417</v>
      </c>
      <c r="D242" s="130"/>
      <c r="E242" s="131"/>
      <c r="F242" s="107"/>
      <c r="G242" s="108"/>
      <c r="H242" s="91"/>
      <c r="I242" s="105"/>
      <c r="J242" s="133" t="s">
        <v>71</v>
      </c>
      <c r="K242" s="124" t="s">
        <v>46</v>
      </c>
      <c r="L242" s="125"/>
    </row>
    <row r="243" hidden="1">
      <c r="A243" s="132"/>
      <c r="B243" s="121"/>
      <c r="C243" s="124" t="s">
        <v>194</v>
      </c>
      <c r="D243" s="130"/>
      <c r="E243" s="131"/>
      <c r="F243" s="107"/>
      <c r="G243" s="108"/>
      <c r="H243" s="91"/>
      <c r="I243" s="105"/>
      <c r="J243" s="133" t="s">
        <v>44</v>
      </c>
      <c r="K243" s="124" t="s">
        <v>37</v>
      </c>
      <c r="L243" s="125"/>
    </row>
    <row r="244" hidden="1">
      <c r="A244" s="132"/>
      <c r="B244" s="121"/>
      <c r="C244" s="124" t="s">
        <v>267</v>
      </c>
      <c r="D244" s="130"/>
      <c r="E244" s="131"/>
      <c r="F244" s="107"/>
      <c r="G244" s="108"/>
      <c r="H244" s="91"/>
      <c r="I244" s="105"/>
      <c r="J244" s="133" t="s">
        <v>65</v>
      </c>
      <c r="K244" s="124" t="s">
        <v>24</v>
      </c>
      <c r="L244" s="125"/>
    </row>
    <row r="245" hidden="1">
      <c r="A245" s="132"/>
      <c r="B245" s="121"/>
      <c r="C245" s="124" t="s">
        <v>188</v>
      </c>
      <c r="D245" s="130"/>
      <c r="E245" s="131"/>
      <c r="F245" s="107"/>
      <c r="G245" s="108"/>
      <c r="H245" s="91"/>
      <c r="I245" s="105"/>
      <c r="J245" s="133" t="s">
        <v>67</v>
      </c>
      <c r="K245" s="124" t="s">
        <v>40</v>
      </c>
      <c r="L245" s="125"/>
    </row>
    <row r="246" hidden="1">
      <c r="A246" s="132"/>
      <c r="B246" s="121"/>
      <c r="C246" s="124" t="s">
        <v>221</v>
      </c>
      <c r="D246" s="130"/>
      <c r="E246" s="131"/>
      <c r="F246" s="107"/>
      <c r="G246" s="108"/>
      <c r="H246" s="91"/>
      <c r="I246" s="105"/>
      <c r="J246" s="133" t="s">
        <v>55</v>
      </c>
      <c r="K246" s="124" t="s">
        <v>45</v>
      </c>
      <c r="L246" s="125"/>
    </row>
    <row r="247" hidden="1">
      <c r="A247" s="132"/>
      <c r="B247" s="121"/>
      <c r="C247" s="124" t="s">
        <v>101</v>
      </c>
      <c r="D247" s="130"/>
      <c r="E247" s="131"/>
      <c r="F247" s="107"/>
      <c r="G247" s="108"/>
      <c r="H247" s="91"/>
      <c r="I247" s="105"/>
      <c r="J247" s="133" t="s">
        <v>39</v>
      </c>
      <c r="K247" s="124" t="s">
        <v>31</v>
      </c>
      <c r="L247" s="125"/>
    </row>
    <row r="248" hidden="1">
      <c r="A248" s="132"/>
      <c r="B248" s="121"/>
      <c r="C248" s="124" t="s">
        <v>129</v>
      </c>
      <c r="D248" s="130"/>
      <c r="E248" s="131"/>
      <c r="F248" s="107"/>
      <c r="G248" s="108"/>
      <c r="H248" s="91"/>
      <c r="I248" s="105"/>
      <c r="J248" s="133" t="s">
        <v>36</v>
      </c>
      <c r="K248" s="124" t="s">
        <v>28</v>
      </c>
      <c r="L248" s="125"/>
    </row>
    <row r="249">
      <c r="A249" s="82" t="str">
        <f>HYPERLINK("https://docs.google.com/spreadsheets/d/1nYlVL4RxK2ZUH-a4MfKCalHyEjDRWz2ZumhyoaYsjTE/edit?usp=sharing","21")</f>
        <v>21</v>
      </c>
      <c r="B249" s="83">
        <v>37.0</v>
      </c>
      <c r="C249" s="121" t="s">
        <v>486</v>
      </c>
      <c r="D249" s="121">
        <v>1.0</v>
      </c>
      <c r="E249" s="84" t="str">
        <f>HYPERLINK("https://docs.google.com/spreadsheets/d/1nYlVL4RxK2ZUH-a4MfKCalHyEjDRWz2ZumhyoaYsjTE/edit?usp=sharing","01")</f>
        <v>01</v>
      </c>
      <c r="F249" s="10" t="s">
        <v>318</v>
      </c>
      <c r="G249" s="103" t="s">
        <v>314</v>
      </c>
      <c r="H249" s="10" t="s">
        <v>314</v>
      </c>
      <c r="I249" s="43" t="s">
        <v>315</v>
      </c>
      <c r="J249" s="121" t="s">
        <v>103</v>
      </c>
      <c r="K249" s="124" t="s">
        <v>60</v>
      </c>
      <c r="L249" s="127" t="s">
        <v>487</v>
      </c>
    </row>
    <row r="250">
      <c r="A250" s="86"/>
      <c r="B250" s="86"/>
      <c r="C250" s="109" t="s">
        <v>488</v>
      </c>
      <c r="D250" s="83">
        <v>2.0</v>
      </c>
      <c r="E250" s="88" t="str">
        <f>HYPERLINK("https://docs.google.com/document/d/1CNuFZ8FjyussytMSNVMWJBCOHSHg-I0EiZwOS7m-m0g/edit?usp=sharing","02")</f>
        <v>02</v>
      </c>
      <c r="F250" s="89"/>
      <c r="G250" s="90" t="s">
        <v>314</v>
      </c>
      <c r="H250" s="100" t="s">
        <v>314</v>
      </c>
      <c r="I250" s="92" t="s">
        <v>315</v>
      </c>
      <c r="J250" s="83" t="s">
        <v>112</v>
      </c>
      <c r="K250" s="109" t="s">
        <v>60</v>
      </c>
      <c r="L250" s="123"/>
    </row>
    <row r="251">
      <c r="A251" s="86"/>
      <c r="B251" s="86"/>
      <c r="C251" s="7"/>
      <c r="D251" s="7"/>
      <c r="E251" s="96" t="str">
        <f>HYPERLINK("https://docs.google.com/document/d/1EUk3Q5iNtjK6alDovscmV62XZz1stXXrm2Whj7D93wg/edit?usp=sharing","05")</f>
        <v>05</v>
      </c>
      <c r="F251" s="104" t="s">
        <v>380</v>
      </c>
      <c r="G251" s="98" t="s">
        <v>314</v>
      </c>
      <c r="H251" s="104" t="s">
        <v>315</v>
      </c>
      <c r="I251" s="36" t="s">
        <v>314</v>
      </c>
      <c r="J251" s="7"/>
      <c r="K251" s="7"/>
      <c r="L251" s="7"/>
    </row>
    <row r="252">
      <c r="A252" s="86"/>
      <c r="B252" s="86"/>
      <c r="C252" s="109" t="s">
        <v>489</v>
      </c>
      <c r="D252" s="83">
        <v>3.0</v>
      </c>
      <c r="E252" s="88" t="str">
        <f>HYPERLINK("https://docs.google.com/spreadsheets/d/1nYlVL4RxK2ZUH-a4MfKCalHyEjDRWz2ZumhyoaYsjTE/edit?usp=sharing","01")</f>
        <v>01</v>
      </c>
      <c r="F252" s="100" t="s">
        <v>318</v>
      </c>
      <c r="G252" s="90" t="s">
        <v>314</v>
      </c>
      <c r="H252" s="100" t="s">
        <v>314</v>
      </c>
      <c r="I252" s="92" t="s">
        <v>315</v>
      </c>
      <c r="J252" s="83" t="s">
        <v>111</v>
      </c>
      <c r="K252" s="109" t="s">
        <v>60</v>
      </c>
      <c r="L252" s="126" t="s">
        <v>490</v>
      </c>
    </row>
    <row r="253">
      <c r="A253" s="86"/>
      <c r="B253" s="86"/>
      <c r="C253" s="86"/>
      <c r="D253" s="86"/>
      <c r="E253" s="106" t="str">
        <f>HYPERLINK("https://docs.google.com/document/d/1CNuFZ8FjyussytMSNVMWJBCOHSHg-I0EiZwOS7m-m0g/edit?usp=sharing","02")</f>
        <v>02</v>
      </c>
      <c r="F253" s="91"/>
      <c r="G253" s="108" t="s">
        <v>315</v>
      </c>
      <c r="H253" s="91" t="s">
        <v>315</v>
      </c>
      <c r="I253" s="105" t="s">
        <v>314</v>
      </c>
      <c r="J253" s="86"/>
      <c r="K253" s="86"/>
      <c r="L253" s="86"/>
    </row>
    <row r="254">
      <c r="A254" s="86"/>
      <c r="B254" s="86"/>
      <c r="C254" s="7"/>
      <c r="D254" s="7"/>
      <c r="E254" s="96" t="str">
        <f>HYPERLINK("https://docs.google.com/document/d/1EUk3Q5iNtjK6alDovscmV62XZz1stXXrm2Whj7D93wg/edit?usp=sharing","05")</f>
        <v>05</v>
      </c>
      <c r="F254" s="104" t="s">
        <v>380</v>
      </c>
      <c r="G254" s="98" t="s">
        <v>315</v>
      </c>
      <c r="H254" s="104" t="s">
        <v>314</v>
      </c>
      <c r="I254" s="36" t="s">
        <v>315</v>
      </c>
      <c r="J254" s="7"/>
      <c r="K254" s="7"/>
      <c r="L254" s="7"/>
    </row>
    <row r="255">
      <c r="A255" s="86"/>
      <c r="B255" s="86"/>
      <c r="C255" s="109" t="s">
        <v>491</v>
      </c>
      <c r="D255" s="83">
        <v>2.0</v>
      </c>
      <c r="E255" s="88" t="str">
        <f>HYPERLINK("https://docs.google.com/spreadsheets/d/1nYlVL4RxK2ZUH-a4MfKCalHyEjDRWz2ZumhyoaYsjTE/edit?usp=sharing","01")</f>
        <v>01</v>
      </c>
      <c r="F255" s="100" t="s">
        <v>318</v>
      </c>
      <c r="G255" s="90" t="s">
        <v>314</v>
      </c>
      <c r="H255" s="100" t="s">
        <v>314</v>
      </c>
      <c r="I255" s="92" t="s">
        <v>315</v>
      </c>
      <c r="J255" s="83" t="s">
        <v>100</v>
      </c>
      <c r="K255" s="109" t="s">
        <v>60</v>
      </c>
      <c r="L255" s="126" t="s">
        <v>492</v>
      </c>
    </row>
    <row r="256">
      <c r="A256" s="86"/>
      <c r="B256" s="86"/>
      <c r="C256" s="7"/>
      <c r="D256" s="7"/>
      <c r="E256" s="96" t="str">
        <f>HYPERLINK("https://docs.google.com/document/d/1EUk3Q5iNtjK6alDovscmV62XZz1stXXrm2Whj7D93wg/edit?usp=sharing","05")</f>
        <v>05</v>
      </c>
      <c r="F256" s="104" t="s">
        <v>380</v>
      </c>
      <c r="G256" s="98" t="s">
        <v>314</v>
      </c>
      <c r="H256" s="104" t="s">
        <v>315</v>
      </c>
      <c r="I256" s="36" t="s">
        <v>314</v>
      </c>
      <c r="J256" s="7"/>
      <c r="K256" s="7"/>
      <c r="L256" s="7"/>
    </row>
    <row r="257">
      <c r="A257" s="86"/>
      <c r="B257" s="86"/>
      <c r="C257" s="124" t="s">
        <v>493</v>
      </c>
      <c r="D257" s="121">
        <v>1.0</v>
      </c>
      <c r="E257" s="84" t="str">
        <f>HYPERLINK("https://docs.google.com/document/d/1WVM-4n57Z2xe9pFvDZ_raf82sw7RJK-mSfrcLLDnHyA/edit?usp=sharing","07")</f>
        <v>07</v>
      </c>
      <c r="F257" s="27"/>
      <c r="G257" s="103" t="s">
        <v>315</v>
      </c>
      <c r="H257" s="10" t="s">
        <v>315</v>
      </c>
      <c r="I257" s="43" t="s">
        <v>314</v>
      </c>
      <c r="J257" s="121" t="s">
        <v>82</v>
      </c>
      <c r="K257" s="124" t="s">
        <v>84</v>
      </c>
      <c r="L257" s="125"/>
    </row>
    <row r="258">
      <c r="A258" s="86"/>
      <c r="B258" s="86"/>
      <c r="C258" s="83" t="s">
        <v>494</v>
      </c>
      <c r="D258" s="83">
        <v>9.0</v>
      </c>
      <c r="E258" s="88" t="str">
        <f>HYPERLINK("https://docs.google.com/spreadsheets/d/1nYlVL4RxK2ZUH-a4MfKCalHyEjDRWz2ZumhyoaYsjTE/edit?usp=sharing","01")</f>
        <v>01</v>
      </c>
      <c r="F258" s="100" t="s">
        <v>318</v>
      </c>
      <c r="G258" s="90" t="s">
        <v>315</v>
      </c>
      <c r="H258" s="100" t="s">
        <v>315</v>
      </c>
      <c r="I258" s="92" t="s">
        <v>314</v>
      </c>
      <c r="J258" s="83" t="s">
        <v>71</v>
      </c>
      <c r="K258" s="83" t="s">
        <v>46</v>
      </c>
      <c r="L258" s="126" t="s">
        <v>495</v>
      </c>
    </row>
    <row r="259">
      <c r="A259" s="86"/>
      <c r="B259" s="86"/>
      <c r="C259" s="86"/>
      <c r="D259" s="86"/>
      <c r="E259" s="106" t="str">
        <f>HYPERLINK("https://docs.google.com/document/d/1CNuFZ8FjyussytMSNVMWJBCOHSHg-I0EiZwOS7m-m0g/edit?usp=sharing","02")</f>
        <v>02</v>
      </c>
      <c r="F259" s="91"/>
      <c r="G259" s="108" t="s">
        <v>314</v>
      </c>
      <c r="H259" s="91" t="s">
        <v>314</v>
      </c>
      <c r="I259" s="105" t="s">
        <v>315</v>
      </c>
      <c r="J259" s="86"/>
      <c r="K259" s="86"/>
      <c r="L259" s="86"/>
    </row>
    <row r="260">
      <c r="A260" s="86"/>
      <c r="B260" s="86"/>
      <c r="C260" s="86"/>
      <c r="D260" s="86"/>
      <c r="E260" s="106" t="str">
        <f>HYPERLINK("https://docs.google.com/document/d/1hhwPy2N-G4lMgb-eEtPaLgTf8MwVYuCy1KzCusj-aeE/edit?usp=sharing","03")</f>
        <v>03</v>
      </c>
      <c r="F260" s="91"/>
      <c r="G260" s="108" t="s">
        <v>315</v>
      </c>
      <c r="H260" s="91" t="s">
        <v>315</v>
      </c>
      <c r="I260" s="105" t="s">
        <v>314</v>
      </c>
      <c r="J260" s="86"/>
      <c r="K260" s="86"/>
      <c r="L260" s="86"/>
    </row>
    <row r="261">
      <c r="A261" s="86"/>
      <c r="B261" s="86"/>
      <c r="C261" s="86"/>
      <c r="D261" s="86"/>
      <c r="E261" s="106" t="str">
        <f>HYPERLINK("https://docs.google.com/document/d/1Nad3gLzMoOPweqW2_A0yeLcSJpHDAiVusnk4SqmiadI/edit?usp=sharing","04")</f>
        <v>04</v>
      </c>
      <c r="F261" s="91"/>
      <c r="G261" s="108" t="s">
        <v>315</v>
      </c>
      <c r="H261" s="91" t="s">
        <v>315</v>
      </c>
      <c r="I261" s="105" t="s">
        <v>314</v>
      </c>
      <c r="J261" s="86"/>
      <c r="K261" s="86"/>
      <c r="L261" s="86"/>
    </row>
    <row r="262">
      <c r="A262" s="86"/>
      <c r="B262" s="86"/>
      <c r="C262" s="86"/>
      <c r="D262" s="86"/>
      <c r="E262" s="106" t="str">
        <f>HYPERLINK("https://docs.google.com/document/d/1EUk3Q5iNtjK6alDovscmV62XZz1stXXrm2Whj7D93wg/edit?usp=sharing","05")</f>
        <v>05</v>
      </c>
      <c r="F262" s="91" t="s">
        <v>380</v>
      </c>
      <c r="G262" s="108" t="s">
        <v>314</v>
      </c>
      <c r="H262" s="91" t="s">
        <v>315</v>
      </c>
      <c r="I262" s="105" t="s">
        <v>314</v>
      </c>
      <c r="J262" s="86"/>
      <c r="K262" s="86"/>
      <c r="L262" s="86"/>
    </row>
    <row r="263">
      <c r="A263" s="86"/>
      <c r="B263" s="86"/>
      <c r="C263" s="86"/>
      <c r="D263" s="86"/>
      <c r="E263" s="106" t="str">
        <f>HYPERLINK("https://docs.google.com/document/d/1MK3WyzNYszAjalpwg9geI5p_gRlOT5Mrrb1kEekRXh8/edit?usp=sharing","06")</f>
        <v>06</v>
      </c>
      <c r="F263" s="91" t="s">
        <v>496</v>
      </c>
      <c r="G263" s="108" t="s">
        <v>315</v>
      </c>
      <c r="H263" s="91" t="s">
        <v>314</v>
      </c>
      <c r="I263" s="105" t="s">
        <v>315</v>
      </c>
      <c r="J263" s="86"/>
      <c r="K263" s="86"/>
      <c r="L263" s="86"/>
    </row>
    <row r="264">
      <c r="A264" s="86"/>
      <c r="B264" s="86"/>
      <c r="C264" s="86"/>
      <c r="D264" s="86"/>
      <c r="E264" s="106" t="str">
        <f>HYPERLINK("https://docs.google.com/document/d/1AT1nHkVsJyfSyeJxw8zs0D5hZv2O7JLmQ3ukZZ-3E_Q/edit?usp=sharing","08")</f>
        <v>08</v>
      </c>
      <c r="F264" s="91" t="s">
        <v>9</v>
      </c>
      <c r="G264" s="108" t="s">
        <v>315</v>
      </c>
      <c r="H264" s="91" t="s">
        <v>314</v>
      </c>
      <c r="I264" s="105" t="s">
        <v>315</v>
      </c>
      <c r="J264" s="86"/>
      <c r="K264" s="86"/>
      <c r="L264" s="86"/>
    </row>
    <row r="265">
      <c r="A265" s="86"/>
      <c r="B265" s="86"/>
      <c r="C265" s="86"/>
      <c r="D265" s="86"/>
      <c r="E265" s="106" t="str">
        <f>HYPERLINK("https://docs.google.com/document/d/1hzrgfHlvnqs3NV1pmBQ-iFGfWnU6crOzKRn2wxJ06AY/edit?usp=sharing","09")</f>
        <v>09</v>
      </c>
      <c r="F265" s="91"/>
      <c r="G265" s="108" t="s">
        <v>314</v>
      </c>
      <c r="H265" s="91" t="s">
        <v>314</v>
      </c>
      <c r="I265" s="105" t="s">
        <v>315</v>
      </c>
      <c r="J265" s="86"/>
      <c r="K265" s="86"/>
      <c r="L265" s="86"/>
    </row>
    <row r="266">
      <c r="A266" s="86"/>
      <c r="B266" s="86"/>
      <c r="C266" s="7"/>
      <c r="D266" s="7"/>
      <c r="E266" s="96" t="str">
        <f>HYPERLINK("https://docs.google.com/document/d/1iZjSE3XbOClXHPPchUquyJAdEs-vZQhDBz9y4s5JfWk/edit?usp=sharing","10")</f>
        <v>10</v>
      </c>
      <c r="F266" s="104"/>
      <c r="G266" s="98" t="s">
        <v>315</v>
      </c>
      <c r="H266" s="104" t="s">
        <v>314</v>
      </c>
      <c r="I266" s="36" t="s">
        <v>315</v>
      </c>
      <c r="J266" s="7"/>
      <c r="K266" s="7"/>
      <c r="L266" s="7"/>
    </row>
    <row r="267">
      <c r="A267" s="86"/>
      <c r="B267" s="86"/>
      <c r="C267" s="83" t="s">
        <v>497</v>
      </c>
      <c r="D267" s="83">
        <v>5.0</v>
      </c>
      <c r="E267" s="88" t="str">
        <f>HYPERLINK("https://docs.google.com/spreadsheets/d/1nYlVL4RxK2ZUH-a4MfKCalHyEjDRWz2ZumhyoaYsjTE/edit?usp=sharing","01")</f>
        <v>01</v>
      </c>
      <c r="F267" s="100" t="s">
        <v>318</v>
      </c>
      <c r="G267" s="90" t="s">
        <v>315</v>
      </c>
      <c r="H267" s="100" t="s">
        <v>315</v>
      </c>
      <c r="I267" s="92" t="s">
        <v>314</v>
      </c>
      <c r="J267" s="83" t="s">
        <v>44</v>
      </c>
      <c r="K267" s="109" t="s">
        <v>37</v>
      </c>
      <c r="L267" s="126" t="s">
        <v>498</v>
      </c>
    </row>
    <row r="268">
      <c r="A268" s="86"/>
      <c r="B268" s="86"/>
      <c r="C268" s="86"/>
      <c r="D268" s="86"/>
      <c r="E268" s="106" t="str">
        <f>HYPERLINK("https://docs.google.com/document/d/1CNuFZ8FjyussytMSNVMWJBCOHSHg-I0EiZwOS7m-m0g/edit?usp=sharing","02")</f>
        <v>02</v>
      </c>
      <c r="F268" s="91"/>
      <c r="G268" s="108" t="s">
        <v>314</v>
      </c>
      <c r="H268" s="91" t="s">
        <v>314</v>
      </c>
      <c r="I268" s="105" t="s">
        <v>315</v>
      </c>
      <c r="J268" s="86"/>
      <c r="K268" s="86"/>
      <c r="L268" s="86"/>
    </row>
    <row r="269">
      <c r="A269" s="86"/>
      <c r="B269" s="86"/>
      <c r="C269" s="86"/>
      <c r="D269" s="86"/>
      <c r="E269" s="106" t="str">
        <f>HYPERLINK("https://docs.google.com/document/d/1hhwPy2N-G4lMgb-eEtPaLgTf8MwVYuCy1KzCusj-aeE/edit?usp=sharing","03")</f>
        <v>03</v>
      </c>
      <c r="F269" s="91"/>
      <c r="G269" s="108" t="s">
        <v>315</v>
      </c>
      <c r="H269" s="91" t="s">
        <v>315</v>
      </c>
      <c r="I269" s="105" t="s">
        <v>314</v>
      </c>
      <c r="J269" s="86"/>
      <c r="K269" s="86"/>
      <c r="L269" s="86"/>
    </row>
    <row r="270">
      <c r="A270" s="86"/>
      <c r="B270" s="86"/>
      <c r="C270" s="86"/>
      <c r="D270" s="86"/>
      <c r="E270" s="106" t="str">
        <f>HYPERLINK("https://docs.google.com/document/d/1Nad3gLzMoOPweqW2_A0yeLcSJpHDAiVusnk4SqmiadI/edit?usp=sharing","04")</f>
        <v>04</v>
      </c>
      <c r="F270" s="91"/>
      <c r="G270" s="108" t="s">
        <v>315</v>
      </c>
      <c r="H270" s="91" t="s">
        <v>315</v>
      </c>
      <c r="I270" s="105" t="s">
        <v>314</v>
      </c>
      <c r="J270" s="86"/>
      <c r="K270" s="86"/>
      <c r="L270" s="86"/>
    </row>
    <row r="271">
      <c r="A271" s="86"/>
      <c r="B271" s="86"/>
      <c r="C271" s="7"/>
      <c r="D271" s="7"/>
      <c r="E271" s="96" t="str">
        <f>HYPERLINK("https://docs.google.com/document/d/1WVM-4n57Z2xe9pFvDZ_raf82sw7RJK-mSfrcLLDnHyA/edit?usp=sharing","07")</f>
        <v>07</v>
      </c>
      <c r="F271" s="104"/>
      <c r="G271" s="98" t="s">
        <v>315</v>
      </c>
      <c r="H271" s="104" t="s">
        <v>315</v>
      </c>
      <c r="I271" s="36" t="s">
        <v>314</v>
      </c>
      <c r="J271" s="7"/>
      <c r="K271" s="7"/>
      <c r="L271" s="7"/>
    </row>
    <row r="272">
      <c r="A272" s="86"/>
      <c r="B272" s="86"/>
      <c r="C272" s="121" t="s">
        <v>499</v>
      </c>
      <c r="D272" s="121">
        <v>1.0</v>
      </c>
      <c r="E272" s="84" t="str">
        <f>HYPERLINK("https://docs.google.com/document/d/1CNuFZ8FjyussytMSNVMWJBCOHSHg-I0EiZwOS7m-m0g/edit?usp=sharing","02")</f>
        <v>02</v>
      </c>
      <c r="F272" s="27"/>
      <c r="G272" s="103" t="s">
        <v>315</v>
      </c>
      <c r="H272" s="10" t="s">
        <v>315</v>
      </c>
      <c r="I272" s="43" t="s">
        <v>314</v>
      </c>
      <c r="J272" s="121" t="s">
        <v>65</v>
      </c>
      <c r="K272" s="124" t="s">
        <v>24</v>
      </c>
      <c r="L272" s="125"/>
    </row>
    <row r="273">
      <c r="A273" s="86"/>
      <c r="B273" s="86"/>
      <c r="C273" s="83" t="s">
        <v>500</v>
      </c>
      <c r="D273" s="83">
        <v>4.0</v>
      </c>
      <c r="E273" s="88" t="str">
        <f>HYPERLINK("https://docs.google.com/spreadsheets/d/1nYlVL4RxK2ZUH-a4MfKCalHyEjDRWz2ZumhyoaYsjTE/edit?usp=sharing","01")</f>
        <v>01</v>
      </c>
      <c r="F273" s="100" t="s">
        <v>318</v>
      </c>
      <c r="G273" s="90" t="s">
        <v>314</v>
      </c>
      <c r="H273" s="100" t="s">
        <v>314</v>
      </c>
      <c r="I273" s="92" t="s">
        <v>315</v>
      </c>
      <c r="J273" s="83" t="s">
        <v>67</v>
      </c>
      <c r="K273" s="109" t="s">
        <v>40</v>
      </c>
      <c r="L273" s="126" t="s">
        <v>501</v>
      </c>
    </row>
    <row r="274">
      <c r="A274" s="86"/>
      <c r="B274" s="86"/>
      <c r="C274" s="86"/>
      <c r="D274" s="86"/>
      <c r="E274" s="106" t="str">
        <f>HYPERLINK("https://docs.google.com/document/d/1EUk3Q5iNtjK6alDovscmV62XZz1stXXrm2Whj7D93wg/edit?usp=sharing","05")</f>
        <v>05</v>
      </c>
      <c r="F274" s="91" t="s">
        <v>380</v>
      </c>
      <c r="G274" s="108" t="s">
        <v>315</v>
      </c>
      <c r="H274" s="91" t="s">
        <v>314</v>
      </c>
      <c r="I274" s="105" t="s">
        <v>315</v>
      </c>
      <c r="J274" s="86"/>
      <c r="K274" s="86"/>
      <c r="L274" s="86"/>
    </row>
    <row r="275">
      <c r="A275" s="86"/>
      <c r="B275" s="86"/>
      <c r="C275" s="86"/>
      <c r="D275" s="86"/>
      <c r="E275" s="106" t="str">
        <f>HYPERLINK("https://docs.google.com/document/d/1WVM-4n57Z2xe9pFvDZ_raf82sw7RJK-mSfrcLLDnHyA/edit?usp=sharing","07")</f>
        <v>07</v>
      </c>
      <c r="F275" s="91"/>
      <c r="G275" s="108" t="s">
        <v>315</v>
      </c>
      <c r="H275" s="91" t="s">
        <v>315</v>
      </c>
      <c r="I275" s="105" t="s">
        <v>314</v>
      </c>
      <c r="J275" s="86"/>
      <c r="K275" s="86"/>
      <c r="L275" s="86"/>
    </row>
    <row r="276">
      <c r="A276" s="86"/>
      <c r="B276" s="86"/>
      <c r="C276" s="7"/>
      <c r="D276" s="7"/>
      <c r="E276" s="96" t="str">
        <f>HYPERLINK("https://docs.google.com/document/d/1AT1nHkVsJyfSyeJxw8zs0D5hZv2O7JLmQ3ukZZ-3E_Q/edit?usp=sharing","08")</f>
        <v>08</v>
      </c>
      <c r="F276" s="104" t="s">
        <v>9</v>
      </c>
      <c r="G276" s="98" t="s">
        <v>315</v>
      </c>
      <c r="H276" s="104" t="s">
        <v>314</v>
      </c>
      <c r="I276" s="36" t="s">
        <v>314</v>
      </c>
      <c r="J276" s="7"/>
      <c r="K276" s="7"/>
      <c r="L276" s="7"/>
    </row>
    <row r="277">
      <c r="A277" s="86"/>
      <c r="B277" s="86"/>
      <c r="C277" s="83" t="s">
        <v>502</v>
      </c>
      <c r="D277" s="83">
        <v>3.0</v>
      </c>
      <c r="E277" s="88" t="str">
        <f>HYPERLINK("https://docs.google.com/document/d/1hhwPy2N-G4lMgb-eEtPaLgTf8MwVYuCy1KzCusj-aeE/edit?usp=sharing","03")</f>
        <v>03</v>
      </c>
      <c r="F277" s="89"/>
      <c r="G277" s="90" t="s">
        <v>314</v>
      </c>
      <c r="H277" s="100" t="s">
        <v>314</v>
      </c>
      <c r="I277" s="92" t="s">
        <v>315</v>
      </c>
      <c r="J277" s="83" t="s">
        <v>55</v>
      </c>
      <c r="K277" s="109" t="s">
        <v>45</v>
      </c>
      <c r="L277" s="126" t="s">
        <v>340</v>
      </c>
    </row>
    <row r="278">
      <c r="A278" s="86"/>
      <c r="B278" s="86"/>
      <c r="C278" s="86"/>
      <c r="D278" s="86"/>
      <c r="E278" s="106" t="str">
        <f>HYPERLINK("https://docs.google.com/document/d/1Nad3gLzMoOPweqW2_A0yeLcSJpHDAiVusnk4SqmiadI/edit?usp=sharing","04")</f>
        <v>04</v>
      </c>
      <c r="F278" s="107"/>
      <c r="G278" s="108" t="s">
        <v>314</v>
      </c>
      <c r="H278" s="91" t="s">
        <v>314</v>
      </c>
      <c r="I278" s="105" t="s">
        <v>315</v>
      </c>
      <c r="J278" s="86"/>
      <c r="K278" s="86"/>
      <c r="L278" s="86"/>
    </row>
    <row r="279">
      <c r="A279" s="86"/>
      <c r="B279" s="86"/>
      <c r="C279" s="7"/>
      <c r="D279" s="7"/>
      <c r="E279" s="96" t="str">
        <f>HYPERLINK("https://docs.google.com/document/d/1hzrgfHlvnqs3NV1pmBQ-iFGfWnU6crOzKRn2wxJ06AY/edit?usp=sharing","09")</f>
        <v>09</v>
      </c>
      <c r="F279" s="97"/>
      <c r="G279" s="98" t="s">
        <v>314</v>
      </c>
      <c r="H279" s="104" t="s">
        <v>314</v>
      </c>
      <c r="I279" s="36" t="s">
        <v>315</v>
      </c>
      <c r="J279" s="7"/>
      <c r="K279" s="7"/>
      <c r="L279" s="7"/>
    </row>
    <row r="280">
      <c r="A280" s="86"/>
      <c r="B280" s="86"/>
      <c r="C280" s="83" t="s">
        <v>503</v>
      </c>
      <c r="D280" s="83">
        <v>3.0</v>
      </c>
      <c r="E280" s="88" t="str">
        <f>HYPERLINK("https://docs.google.com/document/d/1hhwPy2N-G4lMgb-eEtPaLgTf8MwVYuCy1KzCusj-aeE/edit?usp=sharing","03")</f>
        <v>03</v>
      </c>
      <c r="F280" s="89"/>
      <c r="G280" s="90" t="s">
        <v>315</v>
      </c>
      <c r="H280" s="100" t="s">
        <v>315</v>
      </c>
      <c r="I280" s="92" t="s">
        <v>314</v>
      </c>
      <c r="J280" s="83" t="s">
        <v>62</v>
      </c>
      <c r="K280" s="109" t="s">
        <v>33</v>
      </c>
      <c r="L280" s="126" t="s">
        <v>364</v>
      </c>
    </row>
    <row r="281">
      <c r="A281" s="86"/>
      <c r="B281" s="86"/>
      <c r="C281" s="86"/>
      <c r="D281" s="86"/>
      <c r="E281" s="106" t="str">
        <f>HYPERLINK("https://docs.google.com/document/d/1Nad3gLzMoOPweqW2_A0yeLcSJpHDAiVusnk4SqmiadI/edit?usp=sharing","04")</f>
        <v>04</v>
      </c>
      <c r="F281" s="107"/>
      <c r="G281" s="108" t="s">
        <v>315</v>
      </c>
      <c r="H281" s="91" t="s">
        <v>315</v>
      </c>
      <c r="I281" s="105" t="s">
        <v>314</v>
      </c>
      <c r="J281" s="86"/>
      <c r="K281" s="86"/>
      <c r="L281" s="86"/>
    </row>
    <row r="282">
      <c r="A282" s="86"/>
      <c r="B282" s="86"/>
      <c r="C282" s="7"/>
      <c r="D282" s="7"/>
      <c r="E282" s="96" t="str">
        <f>HYPERLINK("https://docs.google.com/document/d/1EUk3Q5iNtjK6alDovscmV62XZz1stXXrm2Whj7D93wg/edit?usp=sharing","05")</f>
        <v>05</v>
      </c>
      <c r="F282" s="104" t="s">
        <v>380</v>
      </c>
      <c r="G282" s="98" t="s">
        <v>314</v>
      </c>
      <c r="H282" s="104" t="s">
        <v>315</v>
      </c>
      <c r="I282" s="36" t="s">
        <v>314</v>
      </c>
      <c r="J282" s="7"/>
      <c r="K282" s="7"/>
      <c r="L282" s="7"/>
    </row>
    <row r="283">
      <c r="A283" s="86"/>
      <c r="B283" s="86"/>
      <c r="C283" s="83" t="s">
        <v>504</v>
      </c>
      <c r="D283" s="83">
        <v>2.0</v>
      </c>
      <c r="E283" s="88" t="str">
        <f>HYPERLINK("https://docs.google.com/document/d/1hhwPy2N-G4lMgb-eEtPaLgTf8MwVYuCy1KzCusj-aeE/edit?usp=sharing","03")</f>
        <v>03</v>
      </c>
      <c r="F283" s="89"/>
      <c r="G283" s="90" t="s">
        <v>315</v>
      </c>
      <c r="H283" s="100" t="s">
        <v>315</v>
      </c>
      <c r="I283" s="92" t="s">
        <v>314</v>
      </c>
      <c r="J283" s="83" t="s">
        <v>39</v>
      </c>
      <c r="K283" s="109" t="s">
        <v>31</v>
      </c>
      <c r="L283" s="123"/>
    </row>
    <row r="284">
      <c r="A284" s="86"/>
      <c r="B284" s="86"/>
      <c r="C284" s="7"/>
      <c r="D284" s="7"/>
      <c r="E284" s="96" t="str">
        <f>HYPERLINK("https://docs.google.com/document/d/1EUk3Q5iNtjK6alDovscmV62XZz1stXXrm2Whj7D93wg/edit?usp=sharing","05")</f>
        <v>05</v>
      </c>
      <c r="F284" s="104" t="s">
        <v>380</v>
      </c>
      <c r="G284" s="98" t="s">
        <v>315</v>
      </c>
      <c r="H284" s="104" t="s">
        <v>314</v>
      </c>
      <c r="I284" s="36" t="s">
        <v>315</v>
      </c>
      <c r="J284" s="7"/>
      <c r="K284" s="7"/>
      <c r="L284" s="7"/>
    </row>
    <row r="285">
      <c r="A285" s="7"/>
      <c r="B285" s="7"/>
      <c r="C285" s="124" t="s">
        <v>505</v>
      </c>
      <c r="D285" s="124">
        <v>1.0</v>
      </c>
      <c r="E285" s="106" t="str">
        <f>HYPERLINK("https://docs.google.com/document/d/1Nad3gLzMoOPweqW2_A0yeLcSJpHDAiVusnk4SqmiadI/edit?usp=sharing","04")</f>
        <v>04</v>
      </c>
      <c r="F285" s="107"/>
      <c r="G285" s="108" t="s">
        <v>315</v>
      </c>
      <c r="H285" s="91" t="s">
        <v>315</v>
      </c>
      <c r="I285" s="105" t="s">
        <v>314</v>
      </c>
      <c r="J285" s="124" t="s">
        <v>36</v>
      </c>
      <c r="K285" s="124" t="s">
        <v>28</v>
      </c>
      <c r="L285" s="125"/>
    </row>
    <row r="286">
      <c r="A286" s="82" t="str">
        <f>HYPERLINK("https://docs.google.com/spreadsheets/d/1CcEdjXKuhm6HmXecNbnscxpFab1HRQEjKSDga6QxqAU/edit?usp=sharing","22")</f>
        <v>22</v>
      </c>
      <c r="B286" s="83">
        <v>49.0</v>
      </c>
      <c r="C286" s="83" t="s">
        <v>506</v>
      </c>
      <c r="D286" s="83">
        <v>2.0</v>
      </c>
      <c r="E286" s="88" t="str">
        <f>HYPERLINK("https://docs.google.com/document/d/1JyfZXMZ-5HVJOBw6o_yTlIh07hZF3YFLnGwa8RVh70Q/edit?usp=sharing","03")</f>
        <v>03</v>
      </c>
      <c r="F286" s="89"/>
      <c r="G286" s="90" t="s">
        <v>315</v>
      </c>
      <c r="H286" s="100" t="s">
        <v>315</v>
      </c>
      <c r="I286" s="92" t="s">
        <v>314</v>
      </c>
      <c r="J286" s="83" t="s">
        <v>136</v>
      </c>
      <c r="K286" s="83" t="s">
        <v>60</v>
      </c>
      <c r="L286" s="122"/>
    </row>
    <row r="287">
      <c r="A287" s="86"/>
      <c r="B287" s="86"/>
      <c r="C287" s="7"/>
      <c r="D287" s="7"/>
      <c r="E287" s="96" t="str">
        <f>HYPERLINK("https://docs.google.com/document/d/1B9ictritVz6GhgY9t56PMPkViKOsGoLvZO_o4gcsym4/edit?usp=sharing","05")</f>
        <v>05</v>
      </c>
      <c r="F287" s="104" t="s">
        <v>507</v>
      </c>
      <c r="G287" s="98" t="s">
        <v>334</v>
      </c>
      <c r="H287" s="104" t="s">
        <v>334</v>
      </c>
      <c r="I287" s="36" t="s">
        <v>334</v>
      </c>
      <c r="J287" s="7"/>
      <c r="K287" s="7"/>
      <c r="L287" s="7"/>
    </row>
    <row r="288">
      <c r="A288" s="86"/>
      <c r="B288" s="86"/>
      <c r="C288" s="83" t="s">
        <v>508</v>
      </c>
      <c r="D288" s="83">
        <v>3.0</v>
      </c>
      <c r="E288" s="106" t="str">
        <f>HYPERLINK("https://docs.google.com/document/d/12cAud8FTSgBcqboKcj2oAf2RgFbVYOqMHoA2J4QJG6Y/edit?usp=sharing","01")</f>
        <v>01</v>
      </c>
      <c r="F288" s="91" t="s">
        <v>318</v>
      </c>
      <c r="G288" s="108" t="s">
        <v>315</v>
      </c>
      <c r="H288" s="91" t="s">
        <v>315</v>
      </c>
      <c r="I288" s="105" t="s">
        <v>314</v>
      </c>
      <c r="J288" s="110" t="s">
        <v>113</v>
      </c>
      <c r="K288" s="109" t="s">
        <v>60</v>
      </c>
      <c r="L288" s="126" t="s">
        <v>509</v>
      </c>
    </row>
    <row r="289">
      <c r="A289" s="86"/>
      <c r="B289" s="86"/>
      <c r="C289" s="86"/>
      <c r="D289" s="86"/>
      <c r="E289" s="106" t="str">
        <f>HYPERLINK("https://docs.google.com/document/d/1uJ5XMlJEh44Ia4gKFyo5xaannqIq60UgaXkpDld-LAw/edit?usp=sharing","02")</f>
        <v>02</v>
      </c>
      <c r="F289" s="107"/>
      <c r="G289" s="108" t="s">
        <v>315</v>
      </c>
      <c r="H289" s="91" t="s">
        <v>315</v>
      </c>
      <c r="I289" s="105" t="s">
        <v>314</v>
      </c>
      <c r="J289" s="102"/>
      <c r="K289" s="86"/>
      <c r="L289" s="86"/>
    </row>
    <row r="290">
      <c r="A290" s="86"/>
      <c r="B290" s="86"/>
      <c r="C290" s="7"/>
      <c r="D290" s="7"/>
      <c r="E290" s="106" t="str">
        <f>HYPERLINK("https://docs.google.com/document/d/1JyfZXMZ-5HVJOBw6o_yTlIh07hZF3YFLnGwa8RVh70Q/edit?usp=sharing","03")</f>
        <v>03</v>
      </c>
      <c r="F290" s="91" t="s">
        <v>510</v>
      </c>
      <c r="G290" s="108" t="s">
        <v>314</v>
      </c>
      <c r="H290" s="91" t="s">
        <v>314</v>
      </c>
      <c r="I290" s="105" t="s">
        <v>315</v>
      </c>
      <c r="J290" s="102"/>
      <c r="K290" s="86"/>
      <c r="L290" s="86"/>
    </row>
    <row r="291">
      <c r="A291" s="86"/>
      <c r="B291" s="86"/>
      <c r="C291" s="83" t="s">
        <v>511</v>
      </c>
      <c r="D291" s="83">
        <v>2.0</v>
      </c>
      <c r="E291" s="88" t="str">
        <f>HYPERLINK("https://docs.google.com/document/d/1uJ5XMlJEh44Ia4gKFyo5xaannqIq60UgaXkpDld-LAw/edit?usp=sharing","02")</f>
        <v>02</v>
      </c>
      <c r="F291" s="89"/>
      <c r="G291" s="90" t="s">
        <v>315</v>
      </c>
      <c r="H291" s="100" t="s">
        <v>315</v>
      </c>
      <c r="I291" s="92" t="s">
        <v>314</v>
      </c>
      <c r="J291" s="83" t="s">
        <v>114</v>
      </c>
      <c r="K291" s="83" t="s">
        <v>60</v>
      </c>
      <c r="L291" s="122"/>
    </row>
    <row r="292">
      <c r="A292" s="86"/>
      <c r="B292" s="86"/>
      <c r="C292" s="7"/>
      <c r="D292" s="7"/>
      <c r="E292" s="96" t="str">
        <f>HYPERLINK("https://docs.google.com/document/d/1QTuNHU6_4ztaQ5sppyy4Y47JsLScCepK6wIzq06WvAg/edit?usp=sharing","07")</f>
        <v>07</v>
      </c>
      <c r="F292" s="104" t="s">
        <v>507</v>
      </c>
      <c r="G292" s="98" t="s">
        <v>334</v>
      </c>
      <c r="H292" s="104" t="s">
        <v>334</v>
      </c>
      <c r="I292" s="36" t="s">
        <v>334</v>
      </c>
      <c r="J292" s="7"/>
      <c r="K292" s="7"/>
      <c r="L292" s="7"/>
    </row>
    <row r="293">
      <c r="A293" s="86"/>
      <c r="B293" s="86"/>
      <c r="C293" s="83" t="s">
        <v>512</v>
      </c>
      <c r="D293" s="83">
        <v>3.0</v>
      </c>
      <c r="E293" s="106" t="str">
        <f>HYPERLINK("https://docs.google.com/document/d/12cAud8FTSgBcqboKcj2oAf2RgFbVYOqMHoA2J4QJG6Y/edit?usp=sharing","01")</f>
        <v>01</v>
      </c>
      <c r="F293" s="91" t="s">
        <v>318</v>
      </c>
      <c r="G293" s="108" t="s">
        <v>315</v>
      </c>
      <c r="H293" s="91" t="s">
        <v>315</v>
      </c>
      <c r="I293" s="105" t="s">
        <v>314</v>
      </c>
      <c r="J293" s="110" t="s">
        <v>91</v>
      </c>
      <c r="K293" s="109" t="s">
        <v>60</v>
      </c>
      <c r="L293" s="126" t="s">
        <v>509</v>
      </c>
    </row>
    <row r="294">
      <c r="A294" s="86"/>
      <c r="B294" s="86"/>
      <c r="C294" s="86"/>
      <c r="D294" s="86"/>
      <c r="E294" s="106" t="str">
        <f>HYPERLINK("https://docs.google.com/document/d/1uJ5XMlJEh44Ia4gKFyo5xaannqIq60UgaXkpDld-LAw/edit?usp=sharing","02")</f>
        <v>02</v>
      </c>
      <c r="F294" s="107"/>
      <c r="G294" s="108" t="s">
        <v>315</v>
      </c>
      <c r="H294" s="91" t="s">
        <v>315</v>
      </c>
      <c r="I294" s="105" t="s">
        <v>314</v>
      </c>
      <c r="J294" s="102"/>
      <c r="K294" s="86"/>
      <c r="L294" s="86"/>
    </row>
    <row r="295">
      <c r="A295" s="86"/>
      <c r="B295" s="86"/>
      <c r="C295" s="7"/>
      <c r="D295" s="7"/>
      <c r="E295" s="106" t="str">
        <f>HYPERLINK("https://docs.google.com/document/d/1JyfZXMZ-5HVJOBw6o_yTlIh07hZF3YFLnGwa8RVh70Q/edit?usp=sharing","03")</f>
        <v>03</v>
      </c>
      <c r="F295" s="91" t="s">
        <v>510</v>
      </c>
      <c r="G295" s="108" t="s">
        <v>314</v>
      </c>
      <c r="H295" s="91" t="s">
        <v>314</v>
      </c>
      <c r="I295" s="105" t="s">
        <v>315</v>
      </c>
      <c r="J295" s="102"/>
      <c r="K295" s="86"/>
      <c r="L295" s="86"/>
    </row>
    <row r="296">
      <c r="A296" s="86"/>
      <c r="B296" s="86"/>
      <c r="C296" s="83" t="s">
        <v>513</v>
      </c>
      <c r="D296" s="83">
        <v>2.0</v>
      </c>
      <c r="E296" s="88" t="str">
        <f>HYPERLINK("https://docs.google.com/document/d/1uJ5XMlJEh44Ia4gKFyo5xaannqIq60UgaXkpDld-LAw/edit?usp=sharing","02")</f>
        <v>02</v>
      </c>
      <c r="F296" s="89"/>
      <c r="G296" s="90" t="s">
        <v>315</v>
      </c>
      <c r="H296" s="100" t="s">
        <v>315</v>
      </c>
      <c r="I296" s="92" t="s">
        <v>314</v>
      </c>
      <c r="J296" s="83" t="s">
        <v>105</v>
      </c>
      <c r="K296" s="83" t="s">
        <v>84</v>
      </c>
      <c r="L296" s="122"/>
    </row>
    <row r="297">
      <c r="A297" s="86"/>
      <c r="B297" s="86"/>
      <c r="C297" s="7"/>
      <c r="D297" s="7"/>
      <c r="E297" s="96" t="str">
        <f>HYPERLINK("https://docs.google.com/document/d/1-2pZ-bzrr_71uMMytZRSkIX4WJO41OTHxCpX_oL1lAE/edit?usp=sharing","08")</f>
        <v>08</v>
      </c>
      <c r="F297" s="104" t="s">
        <v>9</v>
      </c>
      <c r="G297" s="98" t="s">
        <v>315</v>
      </c>
      <c r="H297" s="104" t="s">
        <v>314</v>
      </c>
      <c r="I297" s="36" t="s">
        <v>315</v>
      </c>
      <c r="J297" s="7"/>
      <c r="K297" s="7"/>
      <c r="L297" s="7"/>
    </row>
    <row r="298">
      <c r="A298" s="86"/>
      <c r="B298" s="86"/>
      <c r="C298" s="83" t="s">
        <v>514</v>
      </c>
      <c r="D298" s="83">
        <v>4.0</v>
      </c>
      <c r="E298" s="106" t="str">
        <f>HYPERLINK("https://docs.google.com/document/d/12cAud8FTSgBcqboKcj2oAf2RgFbVYOqMHoA2J4QJG6Y/edit?usp=sharing","01")</f>
        <v>01</v>
      </c>
      <c r="F298" s="100" t="s">
        <v>318</v>
      </c>
      <c r="G298" s="108" t="s">
        <v>315</v>
      </c>
      <c r="H298" s="91" t="s">
        <v>315</v>
      </c>
      <c r="I298" s="105" t="s">
        <v>314</v>
      </c>
      <c r="J298" s="110" t="s">
        <v>85</v>
      </c>
      <c r="K298" s="109" t="s">
        <v>48</v>
      </c>
      <c r="L298" s="126" t="s">
        <v>515</v>
      </c>
    </row>
    <row r="299">
      <c r="A299" s="86"/>
      <c r="B299" s="86"/>
      <c r="C299" s="86"/>
      <c r="D299" s="86"/>
      <c r="E299" s="106" t="str">
        <f>HYPERLINK("https://docs.google.com/document/d/1uJ5XMlJEh44Ia4gKFyo5xaannqIq60UgaXkpDld-LAw/edit?usp=sharing","02")</f>
        <v>02</v>
      </c>
      <c r="F299" s="107"/>
      <c r="G299" s="108" t="s">
        <v>315</v>
      </c>
      <c r="H299" s="91" t="s">
        <v>315</v>
      </c>
      <c r="I299" s="105" t="s">
        <v>314</v>
      </c>
      <c r="J299" s="102"/>
      <c r="K299" s="86"/>
      <c r="L299" s="86"/>
    </row>
    <row r="300">
      <c r="A300" s="86"/>
      <c r="B300" s="86"/>
      <c r="C300" s="86"/>
      <c r="D300" s="86"/>
      <c r="E300" s="106" t="str">
        <f>HYPERLINK("https://docs.google.com/document/d/1QTuNHU6_4ztaQ5sppyy4Y47JsLScCepK6wIzq06WvAg/edit?usp=sharing","07")</f>
        <v>07</v>
      </c>
      <c r="F300" s="107"/>
      <c r="G300" s="108" t="s">
        <v>314</v>
      </c>
      <c r="H300" s="91" t="s">
        <v>314</v>
      </c>
      <c r="I300" s="105" t="s">
        <v>315</v>
      </c>
      <c r="J300" s="102"/>
      <c r="K300" s="86"/>
      <c r="L300" s="86"/>
    </row>
    <row r="301">
      <c r="A301" s="86"/>
      <c r="B301" s="86"/>
      <c r="C301" s="7"/>
      <c r="D301" s="7"/>
      <c r="E301" s="106" t="str">
        <f>HYPERLINK("https://docs.google.com/document/d/1TDxZAASy4zLMdWN8VGXVC2ntDdbb54Fl4h7t_jjIyuw/edit?usp=sharing","11")</f>
        <v>11</v>
      </c>
      <c r="F301" s="104" t="s">
        <v>507</v>
      </c>
      <c r="G301" s="108" t="s">
        <v>334</v>
      </c>
      <c r="H301" s="91" t="s">
        <v>334</v>
      </c>
      <c r="I301" s="105" t="s">
        <v>334</v>
      </c>
      <c r="J301" s="102"/>
      <c r="K301" s="86"/>
      <c r="L301" s="86"/>
    </row>
    <row r="302">
      <c r="A302" s="86"/>
      <c r="B302" s="86"/>
      <c r="C302" s="83" t="s">
        <v>516</v>
      </c>
      <c r="D302" s="83">
        <v>4.0</v>
      </c>
      <c r="E302" s="88" t="str">
        <f>HYPERLINK("https://docs.google.com/document/d/12cAud8FTSgBcqboKcj2oAf2RgFbVYOqMHoA2J4QJG6Y/edit?usp=sharing","01")</f>
        <v>01</v>
      </c>
      <c r="F302" s="91" t="s">
        <v>318</v>
      </c>
      <c r="G302" s="90" t="s">
        <v>315</v>
      </c>
      <c r="H302" s="100" t="s">
        <v>315</v>
      </c>
      <c r="I302" s="92" t="s">
        <v>314</v>
      </c>
      <c r="J302" s="83" t="s">
        <v>68</v>
      </c>
      <c r="K302" s="83" t="s">
        <v>43</v>
      </c>
      <c r="L302" s="101" t="s">
        <v>515</v>
      </c>
    </row>
    <row r="303">
      <c r="A303" s="86"/>
      <c r="B303" s="86"/>
      <c r="C303" s="86"/>
      <c r="D303" s="86"/>
      <c r="E303" s="106" t="str">
        <f>HYPERLINK("https://docs.google.com/document/d/1uJ5XMlJEh44Ia4gKFyo5xaannqIq60UgaXkpDld-LAw/edit?usp=sharing","02")</f>
        <v>02</v>
      </c>
      <c r="F303" s="107"/>
      <c r="G303" s="108" t="s">
        <v>315</v>
      </c>
      <c r="H303" s="91" t="s">
        <v>315</v>
      </c>
      <c r="I303" s="105" t="s">
        <v>314</v>
      </c>
      <c r="J303" s="86"/>
      <c r="K303" s="86"/>
      <c r="L303" s="86"/>
    </row>
    <row r="304">
      <c r="A304" s="86"/>
      <c r="B304" s="86"/>
      <c r="C304" s="86"/>
      <c r="D304" s="86"/>
      <c r="E304" s="106" t="str">
        <f>HYPERLINK("https://docs.google.com/document/d/1VrNtrnYT3lBQ0geR5C_K7qwnZ3Y5YBIiGlUe4UQ-2do/edit?usp=sharing","04")</f>
        <v>04</v>
      </c>
      <c r="F304" s="107"/>
      <c r="G304" s="108" t="s">
        <v>315</v>
      </c>
      <c r="H304" s="91" t="s">
        <v>315</v>
      </c>
      <c r="I304" s="105" t="s">
        <v>314</v>
      </c>
      <c r="J304" s="86"/>
      <c r="K304" s="86"/>
      <c r="L304" s="86"/>
    </row>
    <row r="305">
      <c r="A305" s="86"/>
      <c r="B305" s="86"/>
      <c r="C305" s="7"/>
      <c r="D305" s="7"/>
      <c r="E305" s="96" t="str">
        <f>HYPERLINK("https://docs.google.com/document/d/1__hWCP1sAntR7ldo0oIpk1jKMKEtTNL2fPIq1ewusYY/edit?usp=sharing","09")</f>
        <v>09</v>
      </c>
      <c r="F305" s="104" t="s">
        <v>517</v>
      </c>
      <c r="G305" s="98" t="s">
        <v>334</v>
      </c>
      <c r="H305" s="104" t="s">
        <v>314</v>
      </c>
      <c r="I305" s="36" t="s">
        <v>315</v>
      </c>
      <c r="J305" s="7"/>
      <c r="K305" s="7"/>
      <c r="L305" s="7"/>
    </row>
    <row r="306">
      <c r="A306" s="86"/>
      <c r="B306" s="86"/>
      <c r="C306" s="83" t="s">
        <v>518</v>
      </c>
      <c r="D306" s="83">
        <v>3.0</v>
      </c>
      <c r="E306" s="106" t="str">
        <f>HYPERLINK("https://docs.google.com/document/d/1B9ictritVz6GhgY9t56PMPkViKOsGoLvZO_o4gcsym4/edit?usp=sharing","05")</f>
        <v>05</v>
      </c>
      <c r="F306" s="89"/>
      <c r="G306" s="108" t="s">
        <v>314</v>
      </c>
      <c r="H306" s="91" t="s">
        <v>314</v>
      </c>
      <c r="I306" s="105" t="s">
        <v>315</v>
      </c>
      <c r="J306" s="110" t="s">
        <v>83</v>
      </c>
      <c r="K306" s="109" t="s">
        <v>58</v>
      </c>
      <c r="L306" s="123"/>
    </row>
    <row r="307">
      <c r="A307" s="86"/>
      <c r="B307" s="86"/>
      <c r="C307" s="86"/>
      <c r="D307" s="86"/>
      <c r="E307" s="106" t="str">
        <f>HYPERLINK("https://docs.google.com/document/d/1-2pZ-bzrr_71uMMytZRSkIX4WJO41OTHxCpX_oL1lAE/edit?usp=sharing","08")</f>
        <v>08</v>
      </c>
      <c r="F307" s="91" t="s">
        <v>9</v>
      </c>
      <c r="G307" s="108" t="s">
        <v>315</v>
      </c>
      <c r="H307" s="91" t="s">
        <v>314</v>
      </c>
      <c r="I307" s="105" t="s">
        <v>315</v>
      </c>
      <c r="J307" s="102"/>
      <c r="K307" s="86"/>
      <c r="L307" s="86"/>
    </row>
    <row r="308">
      <c r="A308" s="86"/>
      <c r="B308" s="86"/>
      <c r="C308" s="7"/>
      <c r="D308" s="7"/>
      <c r="E308" s="106" t="str">
        <f>HYPERLINK("https://docs.google.com/document/d/1cZV9aNhVHt8yqQH2ya2rU2aK_VpaUzitC0KpcR4crho/edit?usp=sharing","10")</f>
        <v>10</v>
      </c>
      <c r="F308" s="104" t="s">
        <v>519</v>
      </c>
      <c r="G308" s="108" t="s">
        <v>314</v>
      </c>
      <c r="H308" s="91" t="s">
        <v>314</v>
      </c>
      <c r="I308" s="105" t="s">
        <v>315</v>
      </c>
      <c r="J308" s="102"/>
      <c r="K308" s="86"/>
      <c r="L308" s="86"/>
    </row>
    <row r="309">
      <c r="A309" s="86"/>
      <c r="B309" s="86"/>
      <c r="C309" s="83" t="s">
        <v>520</v>
      </c>
      <c r="D309" s="83">
        <v>4.0</v>
      </c>
      <c r="E309" s="88" t="str">
        <f>HYPERLINK("https://docs.google.com/document/d/12cAud8FTSgBcqboKcj2oAf2RgFbVYOqMHoA2J4QJG6Y/edit?usp=sharing","01")</f>
        <v>01</v>
      </c>
      <c r="F309" s="91" t="s">
        <v>318</v>
      </c>
      <c r="G309" s="90" t="s">
        <v>314</v>
      </c>
      <c r="H309" s="100" t="s">
        <v>314</v>
      </c>
      <c r="I309" s="92" t="s">
        <v>315</v>
      </c>
      <c r="J309" s="83" t="s">
        <v>47</v>
      </c>
      <c r="K309" s="83" t="s">
        <v>46</v>
      </c>
      <c r="L309" s="101" t="s">
        <v>521</v>
      </c>
    </row>
    <row r="310">
      <c r="A310" s="86"/>
      <c r="B310" s="86"/>
      <c r="C310" s="86"/>
      <c r="D310" s="86"/>
      <c r="E310" s="106" t="str">
        <f>HYPERLINK("https://docs.google.com/document/d/1JyfZXMZ-5HVJOBw6o_yTlIh07hZF3YFLnGwa8RVh70Q/edit?usp=sharing","03")</f>
        <v>03</v>
      </c>
      <c r="F310" s="91" t="s">
        <v>510</v>
      </c>
      <c r="G310" s="108" t="s">
        <v>315</v>
      </c>
      <c r="H310" s="91" t="s">
        <v>315</v>
      </c>
      <c r="I310" s="105" t="s">
        <v>314</v>
      </c>
      <c r="J310" s="86"/>
      <c r="K310" s="86"/>
      <c r="L310" s="86"/>
    </row>
    <row r="311">
      <c r="A311" s="86"/>
      <c r="B311" s="86"/>
      <c r="C311" s="86"/>
      <c r="D311" s="86"/>
      <c r="E311" s="106" t="str">
        <f>HYPERLINK("https://docs.google.com/document/d/14Eip8DDH1g0NlS4TrwRVTDej5dwwyw_cDaXkPyTCkG8/edit?usp=sharing","06")</f>
        <v>06</v>
      </c>
      <c r="F311" s="107"/>
      <c r="G311" s="108" t="s">
        <v>315</v>
      </c>
      <c r="H311" s="91" t="s">
        <v>315</v>
      </c>
      <c r="I311" s="105" t="s">
        <v>314</v>
      </c>
      <c r="J311" s="86"/>
      <c r="K311" s="86"/>
      <c r="L311" s="86"/>
    </row>
    <row r="312">
      <c r="A312" s="86"/>
      <c r="B312" s="86"/>
      <c r="C312" s="7"/>
      <c r="D312" s="7"/>
      <c r="E312" s="96" t="str">
        <f>HYPERLINK("https://docs.google.com/document/d/1cZV9aNhVHt8yqQH2ya2rU2aK_VpaUzitC0KpcR4crho/edit?usp=sharing","10")</f>
        <v>10</v>
      </c>
      <c r="F312" s="104" t="s">
        <v>519</v>
      </c>
      <c r="G312" s="98" t="s">
        <v>334</v>
      </c>
      <c r="H312" s="104" t="s">
        <v>314</v>
      </c>
      <c r="I312" s="36" t="s">
        <v>315</v>
      </c>
      <c r="J312" s="7"/>
      <c r="K312" s="7"/>
      <c r="L312" s="7"/>
    </row>
    <row r="313">
      <c r="A313" s="86"/>
      <c r="B313" s="86"/>
      <c r="C313" s="121" t="s">
        <v>522</v>
      </c>
      <c r="D313" s="121">
        <v>1.0</v>
      </c>
      <c r="E313" s="106" t="str">
        <f>HYPERLINK("https://docs.google.com/document/d/1B9ictritVz6GhgY9t56PMPkViKOsGoLvZO_o4gcsym4/edit?usp=sharing","05")</f>
        <v>05</v>
      </c>
      <c r="F313" s="91" t="s">
        <v>523</v>
      </c>
      <c r="G313" s="108" t="s">
        <v>334</v>
      </c>
      <c r="H313" s="91" t="s">
        <v>334</v>
      </c>
      <c r="I313" s="105" t="s">
        <v>334</v>
      </c>
      <c r="J313" s="110" t="s">
        <v>66</v>
      </c>
      <c r="K313" s="109" t="s">
        <v>37</v>
      </c>
      <c r="L313" s="123"/>
    </row>
    <row r="314">
      <c r="A314" s="86"/>
      <c r="B314" s="86"/>
      <c r="C314" s="83" t="s">
        <v>524</v>
      </c>
      <c r="D314" s="83">
        <v>2.0</v>
      </c>
      <c r="E314" s="88" t="str">
        <f>HYPERLINK("https://docs.google.com/document/d/1cZV9aNhVHt8yqQH2ya2rU2aK_VpaUzitC0KpcR4crho/edit?usp=sharing","10")</f>
        <v>10</v>
      </c>
      <c r="F314" s="100" t="s">
        <v>523</v>
      </c>
      <c r="G314" s="90" t="s">
        <v>334</v>
      </c>
      <c r="H314" s="100" t="s">
        <v>334</v>
      </c>
      <c r="I314" s="92" t="s">
        <v>334</v>
      </c>
      <c r="J314" s="83" t="s">
        <v>56</v>
      </c>
      <c r="K314" s="83" t="s">
        <v>24</v>
      </c>
      <c r="L314" s="122"/>
    </row>
    <row r="315">
      <c r="A315" s="86"/>
      <c r="B315" s="86"/>
      <c r="C315" s="7"/>
      <c r="D315" s="7"/>
      <c r="E315" s="96" t="str">
        <f>HYPERLINK("https://docs.google.com/document/d/1nvy4cZ7jk3rinAAVZWdjaao8xUpRQey6avJiL2ZJEio/edit?usp=sharing","13")</f>
        <v>13</v>
      </c>
      <c r="F315" s="104" t="s">
        <v>523</v>
      </c>
      <c r="G315" s="98" t="s">
        <v>334</v>
      </c>
      <c r="H315" s="104" t="s">
        <v>334</v>
      </c>
      <c r="I315" s="36" t="s">
        <v>334</v>
      </c>
      <c r="J315" s="7"/>
      <c r="K315" s="7"/>
      <c r="L315" s="86"/>
    </row>
    <row r="316">
      <c r="A316" s="86"/>
      <c r="B316" s="86"/>
      <c r="C316" s="83" t="s">
        <v>162</v>
      </c>
      <c r="D316" s="83">
        <v>4.0</v>
      </c>
      <c r="E316" s="106" t="str">
        <f>HYPERLINK("https://docs.google.com/document/d/1VrNtrnYT3lBQ0geR5C_K7qwnZ3Y5YBIiGlUe4UQ-2do/edit?usp=sharing","04")</f>
        <v>04</v>
      </c>
      <c r="F316" s="107"/>
      <c r="G316" s="108" t="s">
        <v>314</v>
      </c>
      <c r="H316" s="91" t="s">
        <v>314</v>
      </c>
      <c r="I316" s="105" t="s">
        <v>315</v>
      </c>
      <c r="J316" s="110" t="s">
        <v>70</v>
      </c>
      <c r="K316" s="109" t="s">
        <v>40</v>
      </c>
      <c r="L316" s="122"/>
    </row>
    <row r="317">
      <c r="A317" s="86"/>
      <c r="B317" s="86"/>
      <c r="C317" s="86"/>
      <c r="D317" s="86"/>
      <c r="E317" s="106" t="str">
        <f>HYPERLINK("https://docs.google.com/document/d/1QTuNHU6_4ztaQ5sppyy4Y47JsLScCepK6wIzq06WvAg/edit?usp=sharing","07")</f>
        <v>07</v>
      </c>
      <c r="F317" s="107"/>
      <c r="G317" s="108" t="s">
        <v>315</v>
      </c>
      <c r="H317" s="91" t="s">
        <v>315</v>
      </c>
      <c r="I317" s="105" t="s">
        <v>314</v>
      </c>
      <c r="J317" s="102"/>
      <c r="K317" s="86"/>
      <c r="L317" s="86"/>
    </row>
    <row r="318">
      <c r="A318" s="86"/>
      <c r="B318" s="86"/>
      <c r="C318" s="86"/>
      <c r="D318" s="86"/>
      <c r="E318" s="106" t="str">
        <f>HYPERLINK("https://docs.google.com/document/d/1__hWCP1sAntR7ldo0oIpk1jKMKEtTNL2fPIq1ewusYY/edit?usp=sharing","09")</f>
        <v>09</v>
      </c>
      <c r="F318" s="91" t="s">
        <v>517</v>
      </c>
      <c r="G318" s="108" t="s">
        <v>314</v>
      </c>
      <c r="H318" s="91" t="s">
        <v>314</v>
      </c>
      <c r="I318" s="105" t="s">
        <v>315</v>
      </c>
      <c r="J318" s="102"/>
      <c r="K318" s="86"/>
      <c r="L318" s="86"/>
    </row>
    <row r="319">
      <c r="A319" s="86"/>
      <c r="B319" s="86"/>
      <c r="C319" s="7"/>
      <c r="D319" s="7"/>
      <c r="E319" s="106" t="str">
        <f>HYPERLINK("https://docs.google.com/document/d/1nvy4cZ7jk3rinAAVZWdjaao8xUpRQey6avJiL2ZJEio/edit?usp=sharing","13")</f>
        <v>13</v>
      </c>
      <c r="F319" s="91" t="s">
        <v>523</v>
      </c>
      <c r="G319" s="108" t="s">
        <v>334</v>
      </c>
      <c r="H319" s="91" t="s">
        <v>334</v>
      </c>
      <c r="I319" s="105" t="s">
        <v>334</v>
      </c>
      <c r="J319" s="102"/>
      <c r="K319" s="86"/>
      <c r="L319" s="7"/>
    </row>
    <row r="320">
      <c r="A320" s="86"/>
      <c r="B320" s="86"/>
      <c r="C320" s="83" t="s">
        <v>525</v>
      </c>
      <c r="D320" s="83">
        <v>5.0</v>
      </c>
      <c r="E320" s="88" t="str">
        <f>HYPERLINK("https://docs.google.com/document/d/1uJ5XMlJEh44Ia4gKFyo5xaannqIq60UgaXkpDld-LAw/edit?usp=sharing","02")</f>
        <v>02</v>
      </c>
      <c r="F320" s="89"/>
      <c r="G320" s="90" t="s">
        <v>314</v>
      </c>
      <c r="H320" s="100" t="s">
        <v>314</v>
      </c>
      <c r="I320" s="92" t="s">
        <v>315</v>
      </c>
      <c r="J320" s="83" t="s">
        <v>41</v>
      </c>
      <c r="K320" s="83" t="s">
        <v>45</v>
      </c>
      <c r="L320" s="101" t="s">
        <v>526</v>
      </c>
    </row>
    <row r="321">
      <c r="A321" s="86"/>
      <c r="B321" s="86"/>
      <c r="C321" s="86"/>
      <c r="D321" s="86"/>
      <c r="E321" s="106" t="str">
        <f>HYPERLINK("https://docs.google.com/document/d/1JyfZXMZ-5HVJOBw6o_yTlIh07hZF3YFLnGwa8RVh70Q/edit?usp=sharing","03")</f>
        <v>03</v>
      </c>
      <c r="F321" s="91" t="s">
        <v>510</v>
      </c>
      <c r="G321" s="108" t="s">
        <v>315</v>
      </c>
      <c r="H321" s="91" t="s">
        <v>315</v>
      </c>
      <c r="I321" s="105" t="s">
        <v>314</v>
      </c>
      <c r="J321" s="86"/>
      <c r="K321" s="86"/>
      <c r="L321" s="86"/>
    </row>
    <row r="322">
      <c r="A322" s="86"/>
      <c r="B322" s="86"/>
      <c r="C322" s="86"/>
      <c r="D322" s="86"/>
      <c r="E322" s="106" t="str">
        <f>HYPERLINK("https://docs.google.com/document/d/1QTuNHU6_4ztaQ5sppyy4Y47JsLScCepK6wIzq06WvAg/edit?usp=sharing","07")</f>
        <v>07</v>
      </c>
      <c r="F322" s="107"/>
      <c r="G322" s="108" t="s">
        <v>315</v>
      </c>
      <c r="H322" s="91" t="s">
        <v>315</v>
      </c>
      <c r="I322" s="105" t="s">
        <v>314</v>
      </c>
      <c r="J322" s="86"/>
      <c r="K322" s="86"/>
      <c r="L322" s="86"/>
    </row>
    <row r="323">
      <c r="A323" s="86"/>
      <c r="B323" s="86"/>
      <c r="C323" s="86"/>
      <c r="D323" s="86"/>
      <c r="E323" s="106" t="str">
        <f>HYPERLINK("https://docs.google.com/document/d/1-2pZ-bzrr_71uMMytZRSkIX4WJO41OTHxCpX_oL1lAE/edit?usp=sharing","08")</f>
        <v>08</v>
      </c>
      <c r="F323" s="91" t="s">
        <v>9</v>
      </c>
      <c r="G323" s="108" t="s">
        <v>315</v>
      </c>
      <c r="H323" s="91" t="s">
        <v>314</v>
      </c>
      <c r="I323" s="105" t="s">
        <v>315</v>
      </c>
      <c r="J323" s="86"/>
      <c r="K323" s="86"/>
      <c r="L323" s="86"/>
    </row>
    <row r="324">
      <c r="A324" s="86"/>
      <c r="B324" s="86"/>
      <c r="C324" s="7"/>
      <c r="D324" s="7"/>
      <c r="E324" s="96" t="str">
        <f>HYPERLINK("https://docs.google.com/document/d/1__hWCP1sAntR7ldo0oIpk1jKMKEtTNL2fPIq1ewusYY/edit?usp=sharing","09")</f>
        <v>09</v>
      </c>
      <c r="F324" s="104" t="s">
        <v>517</v>
      </c>
      <c r="G324" s="98" t="s">
        <v>334</v>
      </c>
      <c r="H324" s="104" t="s">
        <v>314</v>
      </c>
      <c r="I324" s="36" t="s">
        <v>315</v>
      </c>
      <c r="J324" s="7"/>
      <c r="K324" s="7"/>
      <c r="L324" s="86"/>
    </row>
    <row r="325">
      <c r="A325" s="86"/>
      <c r="B325" s="86"/>
      <c r="C325" s="83" t="s">
        <v>527</v>
      </c>
      <c r="D325" s="83">
        <v>8.0</v>
      </c>
      <c r="E325" s="106" t="str">
        <f>HYPERLINK("https://docs.google.com/document/d/1JyfZXMZ-5HVJOBw6o_yTlIh07hZF3YFLnGwa8RVh70Q/edit?usp=sharing","03")</f>
        <v>03</v>
      </c>
      <c r="F325" s="91" t="s">
        <v>510</v>
      </c>
      <c r="G325" s="108" t="s">
        <v>315</v>
      </c>
      <c r="H325" s="91" t="s">
        <v>315</v>
      </c>
      <c r="I325" s="105" t="s">
        <v>314</v>
      </c>
      <c r="J325" s="110" t="s">
        <v>34</v>
      </c>
      <c r="K325" s="109" t="s">
        <v>33</v>
      </c>
      <c r="L325" s="101" t="s">
        <v>528</v>
      </c>
    </row>
    <row r="326">
      <c r="A326" s="86"/>
      <c r="B326" s="86"/>
      <c r="C326" s="86"/>
      <c r="D326" s="86"/>
      <c r="E326" s="106" t="str">
        <f>HYPERLINK("https://docs.google.com/document/d/1B9ictritVz6GhgY9t56PMPkViKOsGoLvZO_o4gcsym4/edit?usp=sharing","05")</f>
        <v>05</v>
      </c>
      <c r="F326" s="107"/>
      <c r="G326" s="108" t="s">
        <v>315</v>
      </c>
      <c r="H326" s="91" t="s">
        <v>315</v>
      </c>
      <c r="I326" s="105" t="s">
        <v>314</v>
      </c>
      <c r="J326" s="102"/>
      <c r="K326" s="86"/>
      <c r="L326" s="86"/>
    </row>
    <row r="327">
      <c r="A327" s="86"/>
      <c r="B327" s="86"/>
      <c r="C327" s="86"/>
      <c r="D327" s="86"/>
      <c r="E327" s="106" t="str">
        <f>HYPERLINK("https://docs.google.com/document/d/14Eip8DDH1g0NlS4TrwRVTDej5dwwyw_cDaXkPyTCkG8/edit?usp=sharing","06")</f>
        <v>06</v>
      </c>
      <c r="F327" s="107"/>
      <c r="G327" s="108" t="s">
        <v>315</v>
      </c>
      <c r="H327" s="91" t="s">
        <v>315</v>
      </c>
      <c r="I327" s="105" t="s">
        <v>314</v>
      </c>
      <c r="J327" s="102"/>
      <c r="K327" s="86"/>
      <c r="L327" s="86"/>
    </row>
    <row r="328">
      <c r="A328" s="86"/>
      <c r="B328" s="86"/>
      <c r="C328" s="86"/>
      <c r="D328" s="86"/>
      <c r="E328" s="106" t="str">
        <f>HYPERLINK("https://docs.google.com/document/d/1QTuNHU6_4ztaQ5sppyy4Y47JsLScCepK6wIzq06WvAg/edit?usp=sharing","07")</f>
        <v>07</v>
      </c>
      <c r="F328" s="107"/>
      <c r="G328" s="108" t="s">
        <v>315</v>
      </c>
      <c r="H328" s="91" t="s">
        <v>315</v>
      </c>
      <c r="I328" s="105" t="s">
        <v>314</v>
      </c>
      <c r="J328" s="102"/>
      <c r="K328" s="86"/>
      <c r="L328" s="86"/>
    </row>
    <row r="329">
      <c r="A329" s="86"/>
      <c r="B329" s="86"/>
      <c r="C329" s="86"/>
      <c r="D329" s="86"/>
      <c r="E329" s="106" t="str">
        <f>HYPERLINK("https://docs.google.com/document/d/1-2pZ-bzrr_71uMMytZRSkIX4WJO41OTHxCpX_oL1lAE/edit?usp=sharing","08")</f>
        <v>08</v>
      </c>
      <c r="F329" s="91" t="s">
        <v>9</v>
      </c>
      <c r="G329" s="108" t="s">
        <v>315</v>
      </c>
      <c r="H329" s="91" t="s">
        <v>315</v>
      </c>
      <c r="I329" s="105" t="s">
        <v>315</v>
      </c>
      <c r="J329" s="102"/>
      <c r="K329" s="86"/>
      <c r="L329" s="86"/>
    </row>
    <row r="330">
      <c r="A330" s="86"/>
      <c r="B330" s="86"/>
      <c r="C330" s="86"/>
      <c r="D330" s="86"/>
      <c r="E330" s="106" t="str">
        <f>HYPERLINK("https://docs.google.com/document/d/1__hWCP1sAntR7ldo0oIpk1jKMKEtTNL2fPIq1ewusYY/edit?usp=sharing","09")</f>
        <v>09</v>
      </c>
      <c r="F330" s="91" t="s">
        <v>517</v>
      </c>
      <c r="G330" s="108" t="s">
        <v>334</v>
      </c>
      <c r="H330" s="91" t="s">
        <v>314</v>
      </c>
      <c r="I330" s="105" t="s">
        <v>315</v>
      </c>
      <c r="J330" s="102"/>
      <c r="K330" s="86"/>
      <c r="L330" s="86"/>
    </row>
    <row r="331">
      <c r="A331" s="86"/>
      <c r="B331" s="86"/>
      <c r="C331" s="86"/>
      <c r="D331" s="86"/>
      <c r="E331" s="106" t="str">
        <f>HYPERLINK("https://docs.google.com/document/d/1cZV9aNhVHt8yqQH2ya2rU2aK_VpaUzitC0KpcR4crho/edit?usp=sharing","10")</f>
        <v>10</v>
      </c>
      <c r="F331" s="107"/>
      <c r="G331" s="108" t="s">
        <v>334</v>
      </c>
      <c r="H331" s="91" t="s">
        <v>314</v>
      </c>
      <c r="I331" s="105" t="s">
        <v>315</v>
      </c>
      <c r="J331" s="102"/>
      <c r="K331" s="86"/>
      <c r="L331" s="86"/>
    </row>
    <row r="332">
      <c r="A332" s="86"/>
      <c r="B332" s="86"/>
      <c r="C332" s="7"/>
      <c r="D332" s="7"/>
      <c r="E332" s="106" t="str">
        <f>HYPERLINK("https://docs.google.com/document/d/1TDxZAASy4zLMdWN8VGXVC2ntDdbb54Fl4h7t_jjIyuw/edit?usp=sharing","11")</f>
        <v>11</v>
      </c>
      <c r="F332" s="91" t="s">
        <v>529</v>
      </c>
      <c r="G332" s="108" t="s">
        <v>314</v>
      </c>
      <c r="H332" s="91" t="s">
        <v>314</v>
      </c>
      <c r="I332" s="105" t="s">
        <v>315</v>
      </c>
      <c r="J332" s="102"/>
      <c r="K332" s="86"/>
      <c r="L332" s="7"/>
    </row>
    <row r="333">
      <c r="A333" s="86"/>
      <c r="B333" s="86"/>
      <c r="C333" s="83" t="s">
        <v>261</v>
      </c>
      <c r="D333" s="83">
        <v>2.0</v>
      </c>
      <c r="E333" s="88" t="str">
        <f>HYPERLINK("https://docs.google.com/document/d/1JyfZXMZ-5HVJOBw6o_yTlIh07hZF3YFLnGwa8RVh70Q/edit?usp=sharing","03")</f>
        <v>03</v>
      </c>
      <c r="F333" s="100" t="s">
        <v>510</v>
      </c>
      <c r="G333" s="90" t="s">
        <v>315</v>
      </c>
      <c r="H333" s="100" t="s">
        <v>315</v>
      </c>
      <c r="I333" s="92" t="s">
        <v>314</v>
      </c>
      <c r="J333" s="83" t="s">
        <v>32</v>
      </c>
      <c r="K333" s="83" t="s">
        <v>31</v>
      </c>
      <c r="L333" s="122"/>
    </row>
    <row r="334">
      <c r="A334" s="7"/>
      <c r="B334" s="7"/>
      <c r="C334" s="7"/>
      <c r="D334" s="7"/>
      <c r="E334" s="96" t="str">
        <f>HYPERLINK("https://docs.google.com/document/d/1nvy4cZ7jk3rinAAVZWdjaao8xUpRQey6avJiL2ZJEio/edit?usp=sharing","13")</f>
        <v>13</v>
      </c>
      <c r="F334" s="97"/>
      <c r="G334" s="98" t="s">
        <v>314</v>
      </c>
      <c r="H334" s="104" t="s">
        <v>314</v>
      </c>
      <c r="I334" s="36" t="s">
        <v>315</v>
      </c>
      <c r="J334" s="7"/>
      <c r="K334" s="7"/>
      <c r="L334" s="86"/>
    </row>
    <row r="335">
      <c r="A335" s="82" t="str">
        <f>HYPERLINK("https://docs.google.com/spreadsheets/d/1OvIOVR4AMBMcafVt9o6KEur-eEFhew1kw_KUv3DV3Xs/edit?usp=sharing","23")</f>
        <v>23</v>
      </c>
      <c r="B335" s="83">
        <v>58.0</v>
      </c>
      <c r="C335" s="121" t="s">
        <v>530</v>
      </c>
      <c r="D335" s="121">
        <v>1.0</v>
      </c>
      <c r="E335" s="84" t="str">
        <f>HYPERLINK("https://docs.google.com/document/d/1QmknS5t2FtmvFn_uBlCMcrl1Z_GkEQ7ZZtyxTBWvjz4/edit?usp=sharing","03")</f>
        <v>03</v>
      </c>
      <c r="F335" s="10" t="s">
        <v>507</v>
      </c>
      <c r="G335" s="103" t="s">
        <v>334</v>
      </c>
      <c r="H335" s="91" t="s">
        <v>334</v>
      </c>
      <c r="I335" s="43" t="s">
        <v>334</v>
      </c>
      <c r="J335" s="121" t="s">
        <v>138</v>
      </c>
      <c r="K335" s="121" t="s">
        <v>60</v>
      </c>
      <c r="L335" s="128"/>
    </row>
    <row r="336">
      <c r="A336" s="86"/>
      <c r="B336" s="86"/>
      <c r="C336" s="83" t="s">
        <v>531</v>
      </c>
      <c r="D336" s="83">
        <v>2.0</v>
      </c>
      <c r="E336" s="88" t="str">
        <f>HYPERLINK("https://docs.google.com/document/d/1Mcazg_2Wu6HmTzhjDtfmPu7zCDHWXEjwU918iBd3olQ/edit?usp=sharing","02")</f>
        <v>02</v>
      </c>
      <c r="F336" s="89"/>
      <c r="G336" s="90" t="s">
        <v>315</v>
      </c>
      <c r="H336" s="100" t="s">
        <v>315</v>
      </c>
      <c r="I336" s="92" t="s">
        <v>314</v>
      </c>
      <c r="J336" s="83" t="s">
        <v>128</v>
      </c>
      <c r="K336" s="83" t="s">
        <v>60</v>
      </c>
      <c r="L336" s="122"/>
    </row>
    <row r="337">
      <c r="A337" s="86"/>
      <c r="B337" s="86"/>
      <c r="C337" s="7"/>
      <c r="D337" s="7"/>
      <c r="E337" s="96" t="str">
        <f>HYPERLINK("https://docs.google.com/document/d/1FQKEQqLcbLSmFVlBRt3jXcZcW9HwCsbXeh9qIICTwJU/edit?usp=sharing","04")</f>
        <v>04</v>
      </c>
      <c r="F337" s="104" t="s">
        <v>507</v>
      </c>
      <c r="G337" s="98" t="s">
        <v>334</v>
      </c>
      <c r="H337" s="104" t="s">
        <v>334</v>
      </c>
      <c r="I337" s="36" t="s">
        <v>334</v>
      </c>
      <c r="J337" s="7"/>
      <c r="K337" s="7"/>
      <c r="L337" s="7"/>
    </row>
    <row r="338">
      <c r="A338" s="86"/>
      <c r="B338" s="86"/>
      <c r="C338" s="83" t="s">
        <v>532</v>
      </c>
      <c r="D338" s="83">
        <v>2.0</v>
      </c>
      <c r="E338" s="88" t="str">
        <f>HYPERLINK("https://docs.google.com/document/d/1Mcazg_2Wu6HmTzhjDtfmPu7zCDHWXEjwU918iBd3olQ/edit?usp=sharing","02")</f>
        <v>02</v>
      </c>
      <c r="F338" s="89"/>
      <c r="G338" s="90" t="s">
        <v>314</v>
      </c>
      <c r="H338" s="91" t="s">
        <v>314</v>
      </c>
      <c r="I338" s="92" t="s">
        <v>315</v>
      </c>
      <c r="J338" s="83" t="s">
        <v>136</v>
      </c>
      <c r="K338" s="83" t="s">
        <v>60</v>
      </c>
      <c r="L338" s="101" t="s">
        <v>340</v>
      </c>
    </row>
    <row r="339">
      <c r="A339" s="86"/>
      <c r="B339" s="86"/>
      <c r="C339" s="7"/>
      <c r="D339" s="7"/>
      <c r="E339" s="96" t="str">
        <f>HYPERLINK("https://docs.google.com/document/d/1QmknS5t2FtmvFn_uBlCMcrl1Z_GkEQ7ZZtyxTBWvjz4/edit?usp=sharing","03")</f>
        <v>03</v>
      </c>
      <c r="F339" s="97"/>
      <c r="G339" s="98" t="s">
        <v>315</v>
      </c>
      <c r="H339" s="91" t="s">
        <v>315</v>
      </c>
      <c r="I339" s="36" t="s">
        <v>314</v>
      </c>
      <c r="J339" s="7"/>
      <c r="K339" s="7"/>
      <c r="L339" s="7"/>
    </row>
    <row r="340">
      <c r="A340" s="86"/>
      <c r="B340" s="86"/>
      <c r="C340" s="83" t="s">
        <v>533</v>
      </c>
      <c r="D340" s="83">
        <v>3.0</v>
      </c>
      <c r="E340" s="88" t="str">
        <f>HYPERLINK("https://docs.google.com/document/d/1Mcazg_2Wu6HmTzhjDtfmPu7zCDHWXEjwU918iBd3olQ/edit?usp=sharing","02")</f>
        <v>02</v>
      </c>
      <c r="F340" s="89"/>
      <c r="G340" s="90" t="s">
        <v>315</v>
      </c>
      <c r="H340" s="100" t="s">
        <v>315</v>
      </c>
      <c r="I340" s="92" t="s">
        <v>314</v>
      </c>
      <c r="J340" s="83" t="s">
        <v>113</v>
      </c>
      <c r="K340" s="83" t="s">
        <v>60</v>
      </c>
      <c r="L340" s="122"/>
    </row>
    <row r="341">
      <c r="A341" s="86"/>
      <c r="B341" s="86"/>
      <c r="C341" s="86"/>
      <c r="D341" s="86"/>
      <c r="E341" s="106" t="str">
        <f>HYPERLINK("https://docs.google.com/document/d/1FQKEQqLcbLSmFVlBRt3jXcZcW9HwCsbXeh9qIICTwJU/edit?usp=sharing","04")</f>
        <v>04</v>
      </c>
      <c r="F341" s="107"/>
      <c r="G341" s="108" t="s">
        <v>315</v>
      </c>
      <c r="H341" s="91" t="s">
        <v>315</v>
      </c>
      <c r="I341" s="105" t="s">
        <v>314</v>
      </c>
      <c r="J341" s="86"/>
      <c r="K341" s="86"/>
      <c r="L341" s="86"/>
    </row>
    <row r="342">
      <c r="A342" s="86"/>
      <c r="B342" s="86"/>
      <c r="C342" s="7"/>
      <c r="D342" s="7"/>
      <c r="E342" s="96" t="str">
        <f>HYPERLINK("https://docs.google.com/document/d/1gWfYJuQbN90wgx0Cu-wO_F5gKiw8hQH_zgHWgD-P2vg/edit?usp=sharing","06")</f>
        <v>06</v>
      </c>
      <c r="F342" s="104" t="s">
        <v>507</v>
      </c>
      <c r="G342" s="98" t="s">
        <v>334</v>
      </c>
      <c r="H342" s="104" t="s">
        <v>334</v>
      </c>
      <c r="I342" s="36" t="s">
        <v>334</v>
      </c>
      <c r="J342" s="7"/>
      <c r="K342" s="7"/>
      <c r="L342" s="7"/>
    </row>
    <row r="343">
      <c r="A343" s="86"/>
      <c r="B343" s="86"/>
      <c r="C343" s="83" t="s">
        <v>534</v>
      </c>
      <c r="D343" s="83">
        <v>2.0</v>
      </c>
      <c r="E343" s="88" t="str">
        <f>HYPERLINK("https://docs.google.com/document/d/1W_sV-3GXiY5_KhBW51yl1ts5c5A4hXHOTNvfNIewXnM/edit?usp=sharing","05")</f>
        <v>05</v>
      </c>
      <c r="F343" s="89"/>
      <c r="G343" s="90" t="s">
        <v>315</v>
      </c>
      <c r="H343" s="91" t="s">
        <v>315</v>
      </c>
      <c r="I343" s="92" t="s">
        <v>314</v>
      </c>
      <c r="J343" s="83" t="s">
        <v>114</v>
      </c>
      <c r="K343" s="83" t="s">
        <v>60</v>
      </c>
      <c r="L343" s="122"/>
    </row>
    <row r="344">
      <c r="A344" s="86"/>
      <c r="B344" s="86"/>
      <c r="C344" s="7"/>
      <c r="D344" s="7"/>
      <c r="E344" s="96" t="str">
        <f>HYPERLINK("https://docs.google.com/document/d/1SowqkvU60Iu8KGNDd4Y4LIv9fQXelOAR9msjJvbBL_M/edit?usp=sharing","07")</f>
        <v>07</v>
      </c>
      <c r="F344" s="104" t="s">
        <v>507</v>
      </c>
      <c r="G344" s="98" t="s">
        <v>334</v>
      </c>
      <c r="H344" s="91" t="s">
        <v>334</v>
      </c>
      <c r="I344" s="36" t="s">
        <v>334</v>
      </c>
      <c r="J344" s="7"/>
      <c r="K344" s="7"/>
      <c r="L344" s="7"/>
    </row>
    <row r="345">
      <c r="A345" s="86"/>
      <c r="B345" s="86"/>
      <c r="C345" s="83" t="s">
        <v>535</v>
      </c>
      <c r="D345" s="83">
        <v>4.0</v>
      </c>
      <c r="E345" s="88" t="str">
        <f>HYPERLINK("https://docs.google.com/document/d/1W_sV-3GXiY5_KhBW51yl1ts5c5A4hXHOTNvfNIewXnM/edit?usp=sharing","05")</f>
        <v>05</v>
      </c>
      <c r="F345" s="100" t="s">
        <v>523</v>
      </c>
      <c r="G345" s="90" t="s">
        <v>334</v>
      </c>
      <c r="H345" s="100" t="s">
        <v>334</v>
      </c>
      <c r="I345" s="92" t="s">
        <v>334</v>
      </c>
      <c r="J345" s="83" t="s">
        <v>91</v>
      </c>
      <c r="K345" s="83" t="s">
        <v>60</v>
      </c>
      <c r="L345" s="101" t="s">
        <v>336</v>
      </c>
    </row>
    <row r="346">
      <c r="A346" s="86"/>
      <c r="B346" s="86"/>
      <c r="C346" s="86"/>
      <c r="D346" s="86"/>
      <c r="E346" s="106" t="str">
        <f>HYPERLINK("https://docs.google.com/document/d/1gWfYJuQbN90wgx0Cu-wO_F5gKiw8hQH_zgHWgD-P2vg/edit?usp=sharing","06")</f>
        <v>06</v>
      </c>
      <c r="F346" s="91" t="s">
        <v>523</v>
      </c>
      <c r="G346" s="108" t="s">
        <v>334</v>
      </c>
      <c r="H346" s="91" t="s">
        <v>334</v>
      </c>
      <c r="I346" s="105" t="s">
        <v>334</v>
      </c>
      <c r="J346" s="86"/>
      <c r="K346" s="86"/>
      <c r="L346" s="86"/>
    </row>
    <row r="347">
      <c r="A347" s="86"/>
      <c r="B347" s="86"/>
      <c r="C347" s="86"/>
      <c r="D347" s="86"/>
      <c r="E347" s="106" t="str">
        <f>HYPERLINK("https://docs.google.com/document/d/1SowqkvU60Iu8KGNDd4Y4LIv9fQXelOAR9msjJvbBL_M/edit?usp=sharing","07")</f>
        <v>07</v>
      </c>
      <c r="F347" s="91" t="s">
        <v>523</v>
      </c>
      <c r="G347" s="108" t="s">
        <v>334</v>
      </c>
      <c r="H347" s="91" t="s">
        <v>334</v>
      </c>
      <c r="I347" s="105" t="s">
        <v>334</v>
      </c>
      <c r="J347" s="86"/>
      <c r="K347" s="86"/>
      <c r="L347" s="86"/>
    </row>
    <row r="348">
      <c r="A348" s="86"/>
      <c r="B348" s="86"/>
      <c r="C348" s="7"/>
      <c r="D348" s="7"/>
      <c r="E348" s="96" t="str">
        <f>HYPERLINK("https://docs.google.com/document/d/1gNKa5bcPTvDLCY_4YUpA4EHd6oj9FTY1F74tnwgpdl4/edit?usp=sharing","08")</f>
        <v>08</v>
      </c>
      <c r="F348" s="104" t="s">
        <v>507</v>
      </c>
      <c r="G348" s="98" t="s">
        <v>334</v>
      </c>
      <c r="H348" s="104" t="s">
        <v>334</v>
      </c>
      <c r="I348" s="36" t="s">
        <v>334</v>
      </c>
      <c r="J348" s="7"/>
      <c r="K348" s="7"/>
      <c r="L348" s="7"/>
    </row>
    <row r="349">
      <c r="A349" s="86"/>
      <c r="B349" s="86"/>
      <c r="C349" s="83" t="s">
        <v>536</v>
      </c>
      <c r="D349" s="83">
        <v>4.0</v>
      </c>
      <c r="E349" s="88" t="str">
        <f>HYPERLINK("https://docs.google.com/document/d/1UjaQc4EPB7lyk-jSyINGNKpSCzn0LYxigDKzqxjMzG8/edit?usp=sharing","01")</f>
        <v>01</v>
      </c>
      <c r="F349" s="100" t="s">
        <v>318</v>
      </c>
      <c r="G349" s="90" t="s">
        <v>314</v>
      </c>
      <c r="H349" s="100" t="s">
        <v>314</v>
      </c>
      <c r="I349" s="92" t="s">
        <v>315</v>
      </c>
      <c r="J349" s="83" t="s">
        <v>85</v>
      </c>
      <c r="K349" s="83" t="s">
        <v>48</v>
      </c>
      <c r="L349" s="101" t="s">
        <v>501</v>
      </c>
    </row>
    <row r="350">
      <c r="A350" s="86"/>
      <c r="B350" s="86"/>
      <c r="C350" s="86"/>
      <c r="D350" s="86"/>
      <c r="E350" s="106" t="str">
        <f>HYPERLINK("https://docs.google.com/document/d/1FQKEQqLcbLSmFVlBRt3jXcZcW9HwCsbXeh9qIICTwJU/edit?usp=sharing","04")</f>
        <v>04</v>
      </c>
      <c r="F350" s="91"/>
      <c r="G350" s="108" t="s">
        <v>315</v>
      </c>
      <c r="H350" s="91" t="s">
        <v>315</v>
      </c>
      <c r="I350" s="105" t="s">
        <v>314</v>
      </c>
      <c r="J350" s="86"/>
      <c r="K350" s="86"/>
      <c r="L350" s="86"/>
    </row>
    <row r="351">
      <c r="A351" s="86"/>
      <c r="B351" s="86"/>
      <c r="C351" s="86"/>
      <c r="D351" s="86"/>
      <c r="E351" s="106" t="str">
        <f>HYPERLINK("https://docs.google.com/document/d/10kNuAoQpSiwNM9FxVMr4fNCoSi9q64L-l3MCiugVsqQ/edit?usp=sharing","09")</f>
        <v>09</v>
      </c>
      <c r="F351" s="91" t="s">
        <v>523</v>
      </c>
      <c r="G351" s="108" t="s">
        <v>334</v>
      </c>
      <c r="H351" s="91" t="s">
        <v>334</v>
      </c>
      <c r="I351" s="105" t="s">
        <v>334</v>
      </c>
      <c r="J351" s="86"/>
      <c r="K351" s="86"/>
      <c r="L351" s="86"/>
    </row>
    <row r="352">
      <c r="A352" s="86"/>
      <c r="B352" s="86"/>
      <c r="C352" s="7"/>
      <c r="D352" s="7"/>
      <c r="E352" s="96" t="str">
        <f>HYPERLINK("https://docs.google.com/document/d/1J8_z_u9Mw4e08bqE2sQGc8okmYPFTzDkYZk0PnDXWqw/edit?usp=sharing","10")</f>
        <v>10</v>
      </c>
      <c r="F352" s="104" t="s">
        <v>507</v>
      </c>
      <c r="G352" s="98" t="s">
        <v>334</v>
      </c>
      <c r="H352" s="104" t="s">
        <v>334</v>
      </c>
      <c r="I352" s="36" t="s">
        <v>334</v>
      </c>
      <c r="J352" s="7"/>
      <c r="K352" s="7"/>
      <c r="L352" s="7"/>
    </row>
    <row r="353">
      <c r="A353" s="86"/>
      <c r="B353" s="86"/>
      <c r="C353" s="83" t="s">
        <v>199</v>
      </c>
      <c r="D353" s="83">
        <v>4.0</v>
      </c>
      <c r="E353" s="88" t="str">
        <f>HYPERLINK("https://docs.google.com/document/d/1Mcazg_2Wu6HmTzhjDtfmPu7zCDHWXEjwU918iBd3olQ/edit?usp=sharing","02")</f>
        <v>02</v>
      </c>
      <c r="F353" s="89"/>
      <c r="G353" s="90" t="s">
        <v>315</v>
      </c>
      <c r="H353" s="100" t="s">
        <v>315</v>
      </c>
      <c r="I353" s="92" t="s">
        <v>314</v>
      </c>
      <c r="J353" s="83" t="s">
        <v>68</v>
      </c>
      <c r="K353" s="83" t="s">
        <v>43</v>
      </c>
      <c r="L353" s="101" t="s">
        <v>340</v>
      </c>
    </row>
    <row r="354">
      <c r="A354" s="86"/>
      <c r="B354" s="86"/>
      <c r="C354" s="86"/>
      <c r="D354" s="86"/>
      <c r="E354" s="106" t="str">
        <f>HYPERLINK("https://docs.google.com/document/d/1QmknS5t2FtmvFn_uBlCMcrl1Z_GkEQ7ZZtyxTBWvjz4/edit?usp=sharing","03")</f>
        <v>03</v>
      </c>
      <c r="F354" s="107"/>
      <c r="G354" s="108" t="s">
        <v>314</v>
      </c>
      <c r="H354" s="91" t="s">
        <v>314</v>
      </c>
      <c r="I354" s="105" t="s">
        <v>315</v>
      </c>
      <c r="J354" s="86"/>
      <c r="K354" s="86"/>
      <c r="L354" s="86"/>
    </row>
    <row r="355">
      <c r="A355" s="86"/>
      <c r="B355" s="86"/>
      <c r="C355" s="86"/>
      <c r="D355" s="86"/>
      <c r="E355" s="106" t="str">
        <f>HYPERLINK("https://docs.google.com/document/d/1SowqkvU60Iu8KGNDd4Y4LIv9fQXelOAR9msjJvbBL_M/edit?usp=sharing","07")</f>
        <v>07</v>
      </c>
      <c r="F355" s="107"/>
      <c r="G355" s="108" t="s">
        <v>314</v>
      </c>
      <c r="H355" s="91" t="s">
        <v>314</v>
      </c>
      <c r="I355" s="105" t="s">
        <v>315</v>
      </c>
      <c r="J355" s="86"/>
      <c r="K355" s="86"/>
      <c r="L355" s="86"/>
    </row>
    <row r="356">
      <c r="A356" s="86"/>
      <c r="B356" s="86"/>
      <c r="C356" s="7"/>
      <c r="D356" s="7"/>
      <c r="E356" s="96" t="str">
        <f>HYPERLINK("https://docs.google.com/document/d/13GxGxxNKSY8Sa2C0pqPC7ymU94l1l3rbbj2GW4ovZvQ/edit?usp=sharing","12")</f>
        <v>12</v>
      </c>
      <c r="F356" s="104" t="s">
        <v>507</v>
      </c>
      <c r="G356" s="98" t="s">
        <v>334</v>
      </c>
      <c r="H356" s="104" t="s">
        <v>334</v>
      </c>
      <c r="I356" s="36" t="s">
        <v>334</v>
      </c>
      <c r="J356" s="7"/>
      <c r="K356" s="7"/>
      <c r="L356" s="7"/>
    </row>
    <row r="357">
      <c r="A357" s="86"/>
      <c r="B357" s="86"/>
      <c r="C357" s="83" t="s">
        <v>537</v>
      </c>
      <c r="D357" s="83">
        <v>9.0</v>
      </c>
      <c r="E357" s="88" t="str">
        <f>HYPERLINK("https://docs.google.com/document/d/1UjaQc4EPB7lyk-jSyINGNKpSCzn0LYxigDKzqxjMzG8/edit?usp=sharing","01")</f>
        <v>01</v>
      </c>
      <c r="F357" s="100" t="s">
        <v>318</v>
      </c>
      <c r="G357" s="90" t="s">
        <v>314</v>
      </c>
      <c r="H357" s="100" t="s">
        <v>314</v>
      </c>
      <c r="I357" s="92" t="s">
        <v>315</v>
      </c>
      <c r="J357" s="83" t="s">
        <v>83</v>
      </c>
      <c r="K357" s="83" t="s">
        <v>58</v>
      </c>
      <c r="L357" s="101" t="s">
        <v>538</v>
      </c>
    </row>
    <row r="358">
      <c r="A358" s="86"/>
      <c r="B358" s="86"/>
      <c r="C358" s="86"/>
      <c r="D358" s="86"/>
      <c r="E358" s="106" t="str">
        <f>HYPERLINK("https://docs.google.com/document/d/1Mcazg_2Wu6HmTzhjDtfmPu7zCDHWXEjwU918iBd3olQ/edit?usp=sharing","02")</f>
        <v>02</v>
      </c>
      <c r="F358" s="91"/>
      <c r="G358" s="108" t="s">
        <v>315</v>
      </c>
      <c r="H358" s="91" t="s">
        <v>315</v>
      </c>
      <c r="I358" s="105" t="s">
        <v>314</v>
      </c>
      <c r="J358" s="86"/>
      <c r="K358" s="86"/>
      <c r="L358" s="86"/>
    </row>
    <row r="359">
      <c r="A359" s="86"/>
      <c r="B359" s="86"/>
      <c r="C359" s="86"/>
      <c r="D359" s="86"/>
      <c r="E359" s="106" t="str">
        <f>HYPERLINK("https://docs.google.com/document/d/1QmknS5t2FtmvFn_uBlCMcrl1Z_GkEQ7ZZtyxTBWvjz4/edit?usp=sharing","03")</f>
        <v>03</v>
      </c>
      <c r="F359" s="91"/>
      <c r="G359" s="108" t="s">
        <v>314</v>
      </c>
      <c r="H359" s="91" t="s">
        <v>314</v>
      </c>
      <c r="I359" s="105" t="s">
        <v>315</v>
      </c>
      <c r="J359" s="86"/>
      <c r="K359" s="86"/>
      <c r="L359" s="86"/>
    </row>
    <row r="360">
      <c r="A360" s="86"/>
      <c r="B360" s="86"/>
      <c r="C360" s="86"/>
      <c r="D360" s="86"/>
      <c r="E360" s="106" t="str">
        <f>HYPERLINK("https://docs.google.com/document/d/1FQKEQqLcbLSmFVlBRt3jXcZcW9HwCsbXeh9qIICTwJU/edit?usp=sharing","04")</f>
        <v>04</v>
      </c>
      <c r="F360" s="91"/>
      <c r="G360" s="108" t="s">
        <v>315</v>
      </c>
      <c r="H360" s="91" t="s">
        <v>315</v>
      </c>
      <c r="I360" s="105" t="s">
        <v>314</v>
      </c>
      <c r="J360" s="86"/>
      <c r="K360" s="86"/>
      <c r="L360" s="86"/>
    </row>
    <row r="361">
      <c r="A361" s="86"/>
      <c r="B361" s="86"/>
      <c r="C361" s="86"/>
      <c r="D361" s="86"/>
      <c r="E361" s="106" t="str">
        <f>HYPERLINK("https://docs.google.com/document/d/1gWfYJuQbN90wgx0Cu-wO_F5gKiw8hQH_zgHWgD-P2vg/edit?usp=sharing","06")</f>
        <v>06</v>
      </c>
      <c r="F361" s="91"/>
      <c r="G361" s="108" t="s">
        <v>315</v>
      </c>
      <c r="H361" s="91" t="s">
        <v>315</v>
      </c>
      <c r="I361" s="105" t="s">
        <v>314</v>
      </c>
      <c r="J361" s="86"/>
      <c r="K361" s="86"/>
      <c r="L361" s="86"/>
    </row>
    <row r="362">
      <c r="A362" s="86"/>
      <c r="B362" s="86"/>
      <c r="C362" s="86"/>
      <c r="D362" s="86"/>
      <c r="E362" s="106" t="str">
        <f>HYPERLINK("https://docs.google.com/document/d/1SowqkvU60Iu8KGNDd4Y4LIv9fQXelOAR9msjJvbBL_M/edit?usp=sharing","07")</f>
        <v>07</v>
      </c>
      <c r="F362" s="91"/>
      <c r="G362" s="108" t="s">
        <v>314</v>
      </c>
      <c r="H362" s="91" t="s">
        <v>314</v>
      </c>
      <c r="I362" s="105" t="s">
        <v>315</v>
      </c>
      <c r="J362" s="86"/>
      <c r="K362" s="86"/>
      <c r="L362" s="86"/>
    </row>
    <row r="363">
      <c r="A363" s="86"/>
      <c r="B363" s="86"/>
      <c r="C363" s="86"/>
      <c r="D363" s="86"/>
      <c r="E363" s="106" t="str">
        <f>HYPERLINK("https://docs.google.com/document/d/1gNKa5bcPTvDLCY_4YUpA4EHd6oj9FTY1F74tnwgpdl4/edit?usp=sharing","08")</f>
        <v>08</v>
      </c>
      <c r="F363" s="91" t="s">
        <v>9</v>
      </c>
      <c r="G363" s="108" t="s">
        <v>315</v>
      </c>
      <c r="H363" s="91" t="s">
        <v>314</v>
      </c>
      <c r="I363" s="105" t="s">
        <v>315</v>
      </c>
      <c r="J363" s="86"/>
      <c r="K363" s="86"/>
      <c r="L363" s="86"/>
    </row>
    <row r="364">
      <c r="A364" s="86"/>
      <c r="B364" s="86"/>
      <c r="C364" s="86"/>
      <c r="D364" s="86"/>
      <c r="E364" s="106" t="str">
        <f>HYPERLINK("https://docs.google.com/document/d/10kNuAoQpSiwNM9FxVMr4fNCoSi9q64L-l3MCiugVsqQ/edit?usp=sharing","09")</f>
        <v>09</v>
      </c>
      <c r="F364" s="91" t="s">
        <v>496</v>
      </c>
      <c r="G364" s="108" t="s">
        <v>314</v>
      </c>
      <c r="H364" s="91" t="s">
        <v>315</v>
      </c>
      <c r="I364" s="105" t="s">
        <v>315</v>
      </c>
      <c r="J364" s="86"/>
      <c r="K364" s="86"/>
      <c r="L364" s="86"/>
    </row>
    <row r="365">
      <c r="A365" s="86"/>
      <c r="B365" s="86"/>
      <c r="C365" s="7"/>
      <c r="D365" s="7"/>
      <c r="E365" s="96" t="str">
        <f>HYPERLINK("https://docs.google.com/document/d/13GxGxxNKSY8Sa2C0pqPC7ymU94l1l3rbbj2GW4ovZvQ/edit?usp=sharing","12")</f>
        <v>12</v>
      </c>
      <c r="F365" s="104" t="s">
        <v>507</v>
      </c>
      <c r="G365" s="98" t="s">
        <v>334</v>
      </c>
      <c r="H365" s="104" t="s">
        <v>334</v>
      </c>
      <c r="I365" s="36" t="s">
        <v>334</v>
      </c>
      <c r="J365" s="7"/>
      <c r="K365" s="86"/>
      <c r="L365" s="7"/>
    </row>
    <row r="366">
      <c r="A366" s="86"/>
      <c r="B366" s="86"/>
      <c r="C366" s="83" t="s">
        <v>539</v>
      </c>
      <c r="D366" s="83">
        <v>6.0</v>
      </c>
      <c r="E366" s="88" t="str">
        <f>HYPERLINK("https://docs.google.com/document/d/1QmknS5t2FtmvFn_uBlCMcrl1Z_GkEQ7ZZtyxTBWvjz4/edit?usp=sharing","03")</f>
        <v>03</v>
      </c>
      <c r="F366" s="89"/>
      <c r="G366" s="90" t="s">
        <v>315</v>
      </c>
      <c r="H366" s="100" t="s">
        <v>315</v>
      </c>
      <c r="I366" s="92" t="s">
        <v>314</v>
      </c>
      <c r="J366" s="83" t="s">
        <v>66</v>
      </c>
      <c r="K366" s="83" t="s">
        <v>37</v>
      </c>
      <c r="L366" s="122"/>
    </row>
    <row r="367">
      <c r="A367" s="86"/>
      <c r="B367" s="86"/>
      <c r="C367" s="86"/>
      <c r="D367" s="86"/>
      <c r="E367" s="106" t="str">
        <f>HYPERLINK("https://docs.google.com/document/d/1W_sV-3GXiY5_KhBW51yl1ts5c5A4hXHOTNvfNIewXnM/edit?usp=sharing","05")</f>
        <v>05</v>
      </c>
      <c r="F367" s="107"/>
      <c r="G367" s="108" t="s">
        <v>315</v>
      </c>
      <c r="H367" s="91" t="s">
        <v>315</v>
      </c>
      <c r="I367" s="105" t="s">
        <v>314</v>
      </c>
      <c r="J367" s="86"/>
      <c r="K367" s="86"/>
      <c r="L367" s="86"/>
    </row>
    <row r="368">
      <c r="A368" s="86"/>
      <c r="B368" s="86"/>
      <c r="C368" s="86"/>
      <c r="D368" s="86"/>
      <c r="E368" s="106" t="str">
        <f>HYPERLINK("https://docs.google.com/document/d/1gNKa5bcPTvDLCY_4YUpA4EHd6oj9FTY1F74tnwgpdl4/edit?usp=sharing","08")</f>
        <v>08</v>
      </c>
      <c r="F368" s="91" t="s">
        <v>9</v>
      </c>
      <c r="G368" s="108" t="s">
        <v>315</v>
      </c>
      <c r="H368" s="91" t="s">
        <v>314</v>
      </c>
      <c r="I368" s="105" t="s">
        <v>315</v>
      </c>
      <c r="J368" s="86"/>
      <c r="K368" s="86"/>
      <c r="L368" s="86"/>
    </row>
    <row r="369">
      <c r="A369" s="86"/>
      <c r="B369" s="86"/>
      <c r="C369" s="86"/>
      <c r="D369" s="86"/>
      <c r="E369" s="106" t="str">
        <f>HYPERLINK("https://docs.google.com/document/d/10kNuAoQpSiwNM9FxVMr4fNCoSi9q64L-l3MCiugVsqQ/edit?usp=sharing","09")</f>
        <v>09</v>
      </c>
      <c r="F369" s="91" t="s">
        <v>496</v>
      </c>
      <c r="G369" s="108" t="s">
        <v>315</v>
      </c>
      <c r="H369" s="91" t="s">
        <v>314</v>
      </c>
      <c r="I369" s="105" t="s">
        <v>315</v>
      </c>
      <c r="J369" s="86"/>
      <c r="K369" s="86"/>
      <c r="L369" s="86"/>
    </row>
    <row r="370">
      <c r="A370" s="86"/>
      <c r="B370" s="86"/>
      <c r="C370" s="86"/>
      <c r="D370" s="86"/>
      <c r="E370" s="106" t="str">
        <f>HYPERLINK("https://docs.google.com/document/d/1J8_z_u9Mw4e08bqE2sQGc8okmYPFTzDkYZk0PnDXWqw/edit?usp=sharing","10")</f>
        <v>10</v>
      </c>
      <c r="F370" s="91" t="s">
        <v>529</v>
      </c>
      <c r="G370" s="108" t="s">
        <v>334</v>
      </c>
      <c r="H370" s="91" t="s">
        <v>314</v>
      </c>
      <c r="I370" s="105" t="s">
        <v>315</v>
      </c>
      <c r="J370" s="86"/>
      <c r="K370" s="86"/>
      <c r="L370" s="86"/>
    </row>
    <row r="371">
      <c r="A371" s="86"/>
      <c r="B371" s="86"/>
      <c r="C371" s="7"/>
      <c r="D371" s="7"/>
      <c r="E371" s="96" t="str">
        <f>HYPERLINK("https://docs.google.com/document/d/1JvwL5MfCxFTGdK-ov8J1kGEhdAKBjzzjJv84vfxdMXA/edit?usp=sharing","14")</f>
        <v>14</v>
      </c>
      <c r="F371" s="104" t="s">
        <v>507</v>
      </c>
      <c r="G371" s="98" t="s">
        <v>334</v>
      </c>
      <c r="H371" s="104" t="s">
        <v>334</v>
      </c>
      <c r="I371" s="36" t="s">
        <v>334</v>
      </c>
      <c r="J371" s="7"/>
      <c r="K371" s="7"/>
      <c r="L371" s="7"/>
    </row>
    <row r="372">
      <c r="A372" s="86"/>
      <c r="B372" s="86"/>
      <c r="C372" s="83" t="s">
        <v>175</v>
      </c>
      <c r="D372" s="83">
        <v>4.0</v>
      </c>
      <c r="E372" s="88" t="str">
        <f>HYPERLINK("https://docs.google.com/document/d/1gNKa5bcPTvDLCY_4YUpA4EHd6oj9FTY1F74tnwgpdl4/edit?usp=sharing","08")</f>
        <v>08</v>
      </c>
      <c r="F372" s="100" t="s">
        <v>9</v>
      </c>
      <c r="G372" s="90" t="s">
        <v>315</v>
      </c>
      <c r="H372" s="100" t="s">
        <v>314</v>
      </c>
      <c r="I372" s="92" t="s">
        <v>315</v>
      </c>
      <c r="J372" s="83" t="s">
        <v>56</v>
      </c>
      <c r="K372" s="83" t="s">
        <v>24</v>
      </c>
      <c r="L372" s="101" t="s">
        <v>336</v>
      </c>
    </row>
    <row r="373">
      <c r="A373" s="86"/>
      <c r="B373" s="86"/>
      <c r="C373" s="86"/>
      <c r="D373" s="86"/>
      <c r="E373" s="106" t="str">
        <f>HYPERLINK("https://docs.google.com/document/d/10kNuAoQpSiwNM9FxVMr4fNCoSi9q64L-l3MCiugVsqQ/edit?usp=sharing","09")</f>
        <v>09</v>
      </c>
      <c r="F373" s="91" t="s">
        <v>496</v>
      </c>
      <c r="G373" s="108" t="s">
        <v>315</v>
      </c>
      <c r="H373" s="91" t="s">
        <v>314</v>
      </c>
      <c r="I373" s="105" t="s">
        <v>315</v>
      </c>
      <c r="J373" s="86"/>
      <c r="K373" s="86"/>
      <c r="L373" s="86"/>
    </row>
    <row r="374">
      <c r="A374" s="86"/>
      <c r="B374" s="86"/>
      <c r="C374" s="86"/>
      <c r="D374" s="86"/>
      <c r="E374" s="106" t="str">
        <f>HYPERLINK("https://docs.google.com/document/d/1J8_z_u9Mw4e08bqE2sQGc8okmYPFTzDkYZk0PnDXWqw/edit?usp=sharing","10")</f>
        <v>10</v>
      </c>
      <c r="F374" s="91" t="s">
        <v>529</v>
      </c>
      <c r="G374" s="108" t="s">
        <v>334</v>
      </c>
      <c r="H374" s="91" t="s">
        <v>314</v>
      </c>
      <c r="I374" s="105" t="s">
        <v>315</v>
      </c>
      <c r="J374" s="86"/>
      <c r="K374" s="86"/>
      <c r="L374" s="86"/>
    </row>
    <row r="375">
      <c r="A375" s="86"/>
      <c r="B375" s="86"/>
      <c r="C375" s="7"/>
      <c r="D375" s="7"/>
      <c r="E375" s="96" t="str">
        <f>HYPERLINK("https://docs.google.com/document/d/13GxGxxNKSY8Sa2C0pqPC7ymU94l1l3rbbj2GW4ovZvQ/edit?usp=sharing","12")</f>
        <v>12</v>
      </c>
      <c r="F375" s="104"/>
      <c r="G375" s="98" t="s">
        <v>314</v>
      </c>
      <c r="H375" s="104" t="s">
        <v>314</v>
      </c>
      <c r="I375" s="36" t="s">
        <v>315</v>
      </c>
      <c r="J375" s="7"/>
      <c r="K375" s="7"/>
      <c r="L375" s="7"/>
    </row>
    <row r="376">
      <c r="A376" s="86"/>
      <c r="B376" s="86"/>
      <c r="C376" s="83" t="s">
        <v>540</v>
      </c>
      <c r="D376" s="83">
        <v>9.0</v>
      </c>
      <c r="E376" s="88" t="str">
        <f>HYPERLINK("https://docs.google.com/document/d/1Mcazg_2Wu6HmTzhjDtfmPu7zCDHWXEjwU918iBd3olQ/edit?usp=sharing","02")</f>
        <v>02</v>
      </c>
      <c r="F376" s="89"/>
      <c r="G376" s="90" t="s">
        <v>314</v>
      </c>
      <c r="H376" s="100" t="s">
        <v>314</v>
      </c>
      <c r="I376" s="92" t="s">
        <v>315</v>
      </c>
      <c r="J376" s="83" t="s">
        <v>70</v>
      </c>
      <c r="K376" s="83" t="s">
        <v>40</v>
      </c>
      <c r="L376" s="101" t="s">
        <v>541</v>
      </c>
    </row>
    <row r="377">
      <c r="A377" s="86"/>
      <c r="B377" s="86"/>
      <c r="C377" s="86"/>
      <c r="D377" s="86"/>
      <c r="E377" s="106" t="str">
        <f>HYPERLINK("https://docs.google.com/document/d/1QmknS5t2FtmvFn_uBlCMcrl1Z_GkEQ7ZZtyxTBWvjz4/edit?usp=sharing","03")</f>
        <v>03</v>
      </c>
      <c r="F377" s="107"/>
      <c r="G377" s="108" t="s">
        <v>315</v>
      </c>
      <c r="H377" s="91" t="s">
        <v>315</v>
      </c>
      <c r="I377" s="105" t="s">
        <v>314</v>
      </c>
      <c r="J377" s="86"/>
      <c r="K377" s="86"/>
      <c r="L377" s="86"/>
    </row>
    <row r="378">
      <c r="A378" s="86"/>
      <c r="B378" s="86"/>
      <c r="C378" s="86"/>
      <c r="D378" s="86"/>
      <c r="E378" s="106" t="str">
        <f>HYPERLINK("https://docs.google.com/document/d/1FQKEQqLcbLSmFVlBRt3jXcZcW9HwCsbXeh9qIICTwJU/edit?usp=sharing","04")</f>
        <v>04</v>
      </c>
      <c r="F378" s="107"/>
      <c r="G378" s="108" t="s">
        <v>314</v>
      </c>
      <c r="H378" s="91" t="s">
        <v>314</v>
      </c>
      <c r="I378" s="105" t="s">
        <v>315</v>
      </c>
      <c r="J378" s="86"/>
      <c r="K378" s="86"/>
      <c r="L378" s="86"/>
    </row>
    <row r="379">
      <c r="A379" s="86"/>
      <c r="B379" s="86"/>
      <c r="C379" s="86"/>
      <c r="D379" s="86"/>
      <c r="E379" s="106" t="str">
        <f>HYPERLINK("https://docs.google.com/document/d/1W_sV-3GXiY5_KhBW51yl1ts5c5A4hXHOTNvfNIewXnM/edit?usp=sharing","05")</f>
        <v>05</v>
      </c>
      <c r="F379" s="107"/>
      <c r="G379" s="108" t="s">
        <v>315</v>
      </c>
      <c r="H379" s="91" t="s">
        <v>315</v>
      </c>
      <c r="I379" s="105" t="s">
        <v>314</v>
      </c>
      <c r="J379" s="86"/>
      <c r="K379" s="86"/>
      <c r="L379" s="86"/>
    </row>
    <row r="380">
      <c r="A380" s="86"/>
      <c r="B380" s="86"/>
      <c r="C380" s="86"/>
      <c r="D380" s="86"/>
      <c r="E380" s="106" t="str">
        <f>HYPERLINK("https://docs.google.com/document/d/1SowqkvU60Iu8KGNDd4Y4LIv9fQXelOAR9msjJvbBL_M/edit?usp=sharing","07")</f>
        <v>07</v>
      </c>
      <c r="F380" s="107"/>
      <c r="G380" s="108" t="s">
        <v>315</v>
      </c>
      <c r="H380" s="91" t="s">
        <v>315</v>
      </c>
      <c r="I380" s="105" t="s">
        <v>314</v>
      </c>
      <c r="J380" s="86"/>
      <c r="K380" s="86"/>
      <c r="L380" s="86"/>
    </row>
    <row r="381">
      <c r="A381" s="86"/>
      <c r="B381" s="86"/>
      <c r="C381" s="86"/>
      <c r="D381" s="86"/>
      <c r="E381" s="106" t="str">
        <f>HYPERLINK("https://docs.google.com/document/d/1gNKa5bcPTvDLCY_4YUpA4EHd6oj9FTY1F74tnwgpdl4/edit?usp=sharing","08")</f>
        <v>08</v>
      </c>
      <c r="F381" s="91" t="s">
        <v>9</v>
      </c>
      <c r="G381" s="108" t="s">
        <v>315</v>
      </c>
      <c r="H381" s="91" t="s">
        <v>314</v>
      </c>
      <c r="I381" s="105" t="s">
        <v>315</v>
      </c>
      <c r="J381" s="86"/>
      <c r="K381" s="86"/>
      <c r="L381" s="86"/>
    </row>
    <row r="382">
      <c r="A382" s="86"/>
      <c r="B382" s="86"/>
      <c r="C382" s="86"/>
      <c r="D382" s="86"/>
      <c r="E382" s="106" t="str">
        <f>HYPERLINK("https://docs.google.com/document/d/10kNuAoQpSiwNM9FxVMr4fNCoSi9q64L-l3MCiugVsqQ/edit?usp=sharing","09")</f>
        <v>09</v>
      </c>
      <c r="F382" s="91" t="s">
        <v>496</v>
      </c>
      <c r="G382" s="108" t="s">
        <v>315</v>
      </c>
      <c r="H382" s="91" t="s">
        <v>314</v>
      </c>
      <c r="I382" s="105" t="s">
        <v>315</v>
      </c>
      <c r="J382" s="86"/>
      <c r="K382" s="86"/>
      <c r="L382" s="86"/>
    </row>
    <row r="383">
      <c r="A383" s="86"/>
      <c r="B383" s="86"/>
      <c r="C383" s="86"/>
      <c r="D383" s="86"/>
      <c r="E383" s="106" t="str">
        <f>HYPERLINK("https://docs.google.com/document/d/1J8_z_u9Mw4e08bqE2sQGc8okmYPFTzDkYZk0PnDXWqw/edit?usp=sharing","10")</f>
        <v>10</v>
      </c>
      <c r="F383" s="91" t="s">
        <v>529</v>
      </c>
      <c r="G383" s="108" t="s">
        <v>334</v>
      </c>
      <c r="H383" s="91" t="s">
        <v>314</v>
      </c>
      <c r="I383" s="105" t="s">
        <v>315</v>
      </c>
      <c r="J383" s="86"/>
      <c r="K383" s="86"/>
      <c r="L383" s="86"/>
    </row>
    <row r="384">
      <c r="A384" s="86"/>
      <c r="B384" s="86"/>
      <c r="C384" s="7"/>
      <c r="D384" s="7"/>
      <c r="E384" s="96" t="str">
        <f t="shared" ref="E384:E385" si="18">HYPERLINK("https://docs.google.com/document/d/1JvwL5MfCxFTGdK-ov8J1kGEhdAKBjzzjJv84vfxdMXA/edit?usp=sharing","14")</f>
        <v>14</v>
      </c>
      <c r="F384" s="104"/>
      <c r="G384" s="98" t="s">
        <v>315</v>
      </c>
      <c r="H384" s="104" t="s">
        <v>314</v>
      </c>
      <c r="I384" s="36" t="s">
        <v>315</v>
      </c>
      <c r="J384" s="7"/>
      <c r="K384" s="7"/>
      <c r="L384" s="7"/>
    </row>
    <row r="385">
      <c r="A385" s="86"/>
      <c r="B385" s="86"/>
      <c r="C385" s="121" t="s">
        <v>258</v>
      </c>
      <c r="D385" s="121">
        <v>1.0</v>
      </c>
      <c r="E385" s="84" t="str">
        <f t="shared" si="18"/>
        <v>14</v>
      </c>
      <c r="F385" s="10" t="s">
        <v>523</v>
      </c>
      <c r="G385" s="103" t="s">
        <v>334</v>
      </c>
      <c r="H385" s="10" t="s">
        <v>334</v>
      </c>
      <c r="I385" s="43" t="s">
        <v>334</v>
      </c>
      <c r="J385" s="121" t="s">
        <v>41</v>
      </c>
      <c r="K385" s="121" t="s">
        <v>45</v>
      </c>
      <c r="L385" s="128"/>
    </row>
    <row r="386">
      <c r="A386" s="86"/>
      <c r="B386" s="86"/>
      <c r="C386" s="83" t="s">
        <v>542</v>
      </c>
      <c r="D386" s="83">
        <v>6.0</v>
      </c>
      <c r="E386" s="88" t="str">
        <f>HYPERLINK("https://docs.google.com/document/d/1UjaQc4EPB7lyk-jSyINGNKpSCzn0LYxigDKzqxjMzG8/edit?usp=sharing","01")</f>
        <v>01</v>
      </c>
      <c r="F386" s="100" t="s">
        <v>318</v>
      </c>
      <c r="G386" s="90" t="s">
        <v>315</v>
      </c>
      <c r="H386" s="100" t="s">
        <v>315</v>
      </c>
      <c r="I386" s="92" t="s">
        <v>314</v>
      </c>
      <c r="J386" s="83" t="s">
        <v>34</v>
      </c>
      <c r="K386" s="83" t="s">
        <v>33</v>
      </c>
      <c r="L386" s="101" t="s">
        <v>543</v>
      </c>
    </row>
    <row r="387">
      <c r="A387" s="86"/>
      <c r="B387" s="86"/>
      <c r="C387" s="86"/>
      <c r="D387" s="86"/>
      <c r="E387" s="106" t="str">
        <f>HYPERLINK("https://docs.google.com/document/d/1Mcazg_2Wu6HmTzhjDtfmPu7zCDHWXEjwU918iBd3olQ/edit?usp=sharing","02")</f>
        <v>02</v>
      </c>
      <c r="F387" s="91"/>
      <c r="G387" s="108" t="s">
        <v>314</v>
      </c>
      <c r="H387" s="91" t="s">
        <v>314</v>
      </c>
      <c r="I387" s="105" t="s">
        <v>315</v>
      </c>
      <c r="J387" s="86"/>
      <c r="K387" s="86"/>
      <c r="L387" s="86"/>
    </row>
    <row r="388">
      <c r="A388" s="86"/>
      <c r="B388" s="86"/>
      <c r="C388" s="86"/>
      <c r="D388" s="86"/>
      <c r="E388" s="106" t="str">
        <f>HYPERLINK("https://docs.google.com/document/d/1QmknS5t2FtmvFn_uBlCMcrl1Z_GkEQ7ZZtyxTBWvjz4/edit?usp=sharing","03")</f>
        <v>03</v>
      </c>
      <c r="F388" s="91"/>
      <c r="G388" s="108" t="s">
        <v>315</v>
      </c>
      <c r="H388" s="91" t="s">
        <v>315</v>
      </c>
      <c r="I388" s="105" t="s">
        <v>314</v>
      </c>
      <c r="J388" s="86"/>
      <c r="K388" s="86"/>
      <c r="L388" s="86"/>
    </row>
    <row r="389">
      <c r="A389" s="86"/>
      <c r="B389" s="86"/>
      <c r="C389" s="86"/>
      <c r="D389" s="86"/>
      <c r="E389" s="106" t="str">
        <f>HYPERLINK("https://docs.google.com/document/d/1FQKEQqLcbLSmFVlBRt3jXcZcW9HwCsbXeh9qIICTwJU/edit?usp=sharing","04")</f>
        <v>04</v>
      </c>
      <c r="F389" s="91"/>
      <c r="G389" s="108" t="s">
        <v>314</v>
      </c>
      <c r="H389" s="91" t="s">
        <v>314</v>
      </c>
      <c r="I389" s="105" t="s">
        <v>315</v>
      </c>
      <c r="J389" s="86"/>
      <c r="K389" s="86"/>
      <c r="L389" s="86"/>
    </row>
    <row r="390">
      <c r="A390" s="86"/>
      <c r="B390" s="86"/>
      <c r="C390" s="86"/>
      <c r="D390" s="86"/>
      <c r="E390" s="106" t="str">
        <f>HYPERLINK("https://docs.google.com/document/d/1SowqkvU60Iu8KGNDd4Y4LIv9fQXelOAR9msjJvbBL_M/edit?usp=sharing","07")</f>
        <v>07</v>
      </c>
      <c r="F390" s="91"/>
      <c r="G390" s="108" t="s">
        <v>315</v>
      </c>
      <c r="H390" s="91" t="s">
        <v>315</v>
      </c>
      <c r="I390" s="105" t="s">
        <v>314</v>
      </c>
      <c r="J390" s="86"/>
      <c r="K390" s="86"/>
      <c r="L390" s="86"/>
    </row>
    <row r="391">
      <c r="A391" s="86"/>
      <c r="B391" s="86"/>
      <c r="C391" s="7"/>
      <c r="D391" s="7"/>
      <c r="E391" s="96" t="str">
        <f>HYPERLINK("https://docs.google.com/document/d/1gNKa5bcPTvDLCY_4YUpA4EHd6oj9FTY1F74tnwgpdl4/edit?usp=sharing","08")</f>
        <v>08</v>
      </c>
      <c r="F391" s="104" t="s">
        <v>9</v>
      </c>
      <c r="G391" s="98" t="s">
        <v>315</v>
      </c>
      <c r="H391" s="104" t="s">
        <v>314</v>
      </c>
      <c r="I391" s="36" t="s">
        <v>315</v>
      </c>
      <c r="J391" s="7"/>
      <c r="K391" s="7"/>
      <c r="L391" s="7"/>
    </row>
    <row r="392">
      <c r="A392" s="7"/>
      <c r="B392" s="7"/>
      <c r="C392" s="121" t="s">
        <v>120</v>
      </c>
      <c r="D392" s="121">
        <v>1.0</v>
      </c>
      <c r="E392" s="84" t="str">
        <f>HYPERLINK("https://docs.google.com/document/d/1W_sV-3GXiY5_KhBW51yl1ts5c5A4hXHOTNvfNIewXnM/edit?usp=sharing","05")</f>
        <v>05</v>
      </c>
      <c r="F392" s="27"/>
      <c r="G392" s="103" t="s">
        <v>315</v>
      </c>
      <c r="H392" s="10" t="s">
        <v>315</v>
      </c>
      <c r="I392" s="43" t="s">
        <v>314</v>
      </c>
      <c r="J392" s="121" t="s">
        <v>29</v>
      </c>
      <c r="K392" s="121" t="s">
        <v>28</v>
      </c>
      <c r="L392" s="128"/>
    </row>
    <row r="393">
      <c r="A393" s="82" t="str">
        <f>HYPERLINK("https://docs.google.com/spreadsheets/d/1v6gXy2rHfH0CkzT8zUZyZm6b-WimbnBspkh1B5hksu4/edit?usp=sharing","24")</f>
        <v>24</v>
      </c>
      <c r="B393" s="83">
        <v>32.0</v>
      </c>
      <c r="C393" s="121" t="s">
        <v>544</v>
      </c>
      <c r="D393" s="134">
        <v>1.0</v>
      </c>
      <c r="E393" s="84" t="str">
        <f>HYPERLINK("https://docs.google.com/document/d/1G7gXFXVPKPb78PojH6hdr7RBEYCDgmI36xjTNVYwk5w/edit?usp=sharing","02")</f>
        <v>02</v>
      </c>
      <c r="F393" s="27"/>
      <c r="G393" s="10" t="s">
        <v>315</v>
      </c>
      <c r="H393" s="10" t="s">
        <v>315</v>
      </c>
      <c r="I393" s="10" t="s">
        <v>314</v>
      </c>
      <c r="J393" s="135" t="s">
        <v>136</v>
      </c>
      <c r="K393" s="121" t="s">
        <v>60</v>
      </c>
      <c r="L393" s="128"/>
    </row>
    <row r="394">
      <c r="A394" s="86"/>
      <c r="B394" s="86"/>
      <c r="C394" s="121" t="s">
        <v>545</v>
      </c>
      <c r="D394" s="121">
        <v>1.0</v>
      </c>
      <c r="E394" s="84" t="str">
        <f>HYPERLINK("https://docs.google.com/document/d/1Mrdy_86Es8cTXsqkGcHhJ4qLp8uFM-9q0LQuxxGoV0A/edit?usp=sharing","01")</f>
        <v>01</v>
      </c>
      <c r="F394" s="10" t="s">
        <v>546</v>
      </c>
      <c r="G394" s="10" t="s">
        <v>314</v>
      </c>
      <c r="H394" s="10" t="s">
        <v>315</v>
      </c>
      <c r="I394" s="10" t="s">
        <v>314</v>
      </c>
      <c r="J394" s="121" t="s">
        <v>113</v>
      </c>
      <c r="K394" s="121" t="s">
        <v>60</v>
      </c>
      <c r="L394" s="136" t="s">
        <v>547</v>
      </c>
    </row>
    <row r="395">
      <c r="A395" s="86"/>
      <c r="B395" s="86"/>
      <c r="C395" s="121" t="s">
        <v>253</v>
      </c>
      <c r="D395" s="121">
        <v>1.0</v>
      </c>
      <c r="E395" s="84" t="str">
        <f t="shared" ref="E395:E396" si="19">HYPERLINK("https://docs.google.com/document/d/1agRcooUrAnxHuZP-sC_QXhAVQAZFTA_XMcNNrgUVNrM/edit?usp=sharing","03")</f>
        <v>03</v>
      </c>
      <c r="F395" s="27"/>
      <c r="G395" s="10" t="s">
        <v>315</v>
      </c>
      <c r="H395" s="10" t="s">
        <v>315</v>
      </c>
      <c r="I395" s="10" t="s">
        <v>314</v>
      </c>
      <c r="J395" s="121" t="s">
        <v>114</v>
      </c>
      <c r="K395" s="121" t="s">
        <v>60</v>
      </c>
      <c r="L395" s="128"/>
    </row>
    <row r="396">
      <c r="A396" s="86"/>
      <c r="B396" s="86"/>
      <c r="C396" s="83" t="s">
        <v>548</v>
      </c>
      <c r="D396" s="87">
        <v>3.0</v>
      </c>
      <c r="E396" s="88" t="str">
        <f t="shared" si="19"/>
        <v>03</v>
      </c>
      <c r="F396" s="89"/>
      <c r="G396" s="90" t="s">
        <v>314</v>
      </c>
      <c r="H396" s="100" t="s">
        <v>314</v>
      </c>
      <c r="I396" s="92" t="s">
        <v>315</v>
      </c>
      <c r="J396" s="93" t="s">
        <v>85</v>
      </c>
      <c r="K396" s="83" t="s">
        <v>48</v>
      </c>
      <c r="L396" s="101" t="s">
        <v>340</v>
      </c>
    </row>
    <row r="397">
      <c r="A397" s="86"/>
      <c r="B397" s="86"/>
      <c r="C397" s="86"/>
      <c r="D397" s="137"/>
      <c r="E397" s="106" t="str">
        <f>HYPERLINK("https://docs.google.com/document/d/1GcKg1WboTJmRQM50gPWv7xPLfBrFg9s2B0CpAfeRplk/edit?usp=sharing","05")</f>
        <v>05</v>
      </c>
      <c r="F397" s="91" t="s">
        <v>549</v>
      </c>
      <c r="G397" s="108" t="s">
        <v>315</v>
      </c>
      <c r="H397" s="91" t="s">
        <v>315</v>
      </c>
      <c r="I397" s="105" t="s">
        <v>314</v>
      </c>
      <c r="J397" s="102"/>
      <c r="K397" s="86"/>
      <c r="L397" s="86"/>
    </row>
    <row r="398">
      <c r="A398" s="86"/>
      <c r="B398" s="86"/>
      <c r="C398" s="7"/>
      <c r="D398" s="95"/>
      <c r="E398" s="96" t="str">
        <f>HYPERLINK("https://docs.google.com/document/d/1JyMRweh-IClvNHbH_7_hR_pWwQNQ8euxdNBBXBtMvsY/edit?usp=sharing","06")</f>
        <v>06</v>
      </c>
      <c r="F398" s="104" t="s">
        <v>550</v>
      </c>
      <c r="G398" s="98" t="s">
        <v>315</v>
      </c>
      <c r="H398" s="104" t="s">
        <v>334</v>
      </c>
      <c r="I398" s="36" t="s">
        <v>315</v>
      </c>
      <c r="J398" s="99"/>
      <c r="K398" s="7"/>
      <c r="L398" s="7"/>
    </row>
    <row r="399">
      <c r="A399" s="86"/>
      <c r="B399" s="86"/>
      <c r="C399" s="83" t="s">
        <v>551</v>
      </c>
      <c r="D399" s="87">
        <v>6.0</v>
      </c>
      <c r="E399" s="88" t="str">
        <f>HYPERLINK("https://docs.google.com/document/d/1G7gXFXVPKPb78PojH6hdr7RBEYCDgmI36xjTNVYwk5w/edit?usp=sharing","02")</f>
        <v>02</v>
      </c>
      <c r="F399" s="89"/>
      <c r="G399" s="90" t="s">
        <v>315</v>
      </c>
      <c r="H399" s="100" t="s">
        <v>315</v>
      </c>
      <c r="I399" s="92" t="s">
        <v>314</v>
      </c>
      <c r="J399" s="93" t="s">
        <v>83</v>
      </c>
      <c r="K399" s="83" t="s">
        <v>58</v>
      </c>
      <c r="L399" s="101" t="s">
        <v>552</v>
      </c>
    </row>
    <row r="400">
      <c r="A400" s="86"/>
      <c r="B400" s="86"/>
      <c r="C400" s="86"/>
      <c r="D400" s="137"/>
      <c r="E400" s="106" t="str">
        <f>HYPERLINK("https://docs.google.com/document/d/1agRcooUrAnxHuZP-sC_QXhAVQAZFTA_XMcNNrgUVNrM/edit?usp=sharing","03")</f>
        <v>03</v>
      </c>
      <c r="F400" s="107"/>
      <c r="G400" s="108" t="s">
        <v>314</v>
      </c>
      <c r="H400" s="91" t="s">
        <v>314</v>
      </c>
      <c r="I400" s="105" t="s">
        <v>315</v>
      </c>
      <c r="J400" s="102"/>
      <c r="K400" s="86"/>
      <c r="L400" s="86"/>
    </row>
    <row r="401">
      <c r="A401" s="86"/>
      <c r="B401" s="86"/>
      <c r="C401" s="86"/>
      <c r="D401" s="137"/>
      <c r="E401" s="106" t="str">
        <f>HYPERLINK("https://docs.google.com/document/d/1GcKg1WboTJmRQM50gPWv7xPLfBrFg9s2B0CpAfeRplk/edit?usp=sharing","05")</f>
        <v>05</v>
      </c>
      <c r="F401" s="91" t="s">
        <v>549</v>
      </c>
      <c r="G401" s="108" t="s">
        <v>314</v>
      </c>
      <c r="H401" s="91" t="s">
        <v>314</v>
      </c>
      <c r="I401" s="105" t="s">
        <v>315</v>
      </c>
      <c r="J401" s="102"/>
      <c r="K401" s="86"/>
      <c r="L401" s="86"/>
    </row>
    <row r="402">
      <c r="A402" s="86"/>
      <c r="B402" s="86"/>
      <c r="C402" s="86"/>
      <c r="D402" s="137"/>
      <c r="E402" s="106" t="str">
        <f>HYPERLINK("https://docs.google.com/document/d/1sl8oJ6idyLUmSuieXMUfdQWGT4ADhQ5DZfkXdVRCi5M/edit?usp=sharing","07")</f>
        <v>07</v>
      </c>
      <c r="F402" s="91" t="s">
        <v>9</v>
      </c>
      <c r="G402" s="108" t="s">
        <v>315</v>
      </c>
      <c r="H402" s="91" t="s">
        <v>314</v>
      </c>
      <c r="I402" s="105" t="s">
        <v>315</v>
      </c>
      <c r="J402" s="102"/>
      <c r="K402" s="86"/>
      <c r="L402" s="86"/>
    </row>
    <row r="403">
      <c r="A403" s="86"/>
      <c r="B403" s="86"/>
      <c r="C403" s="86"/>
      <c r="D403" s="137"/>
      <c r="E403" s="106" t="str">
        <f>HYPERLINK("https://docs.google.com/document/d/1hhIx75O93omtbRteLbyd91xhsj4DTQrLHGYUOqb80R4/edit?usp=sharing","09")</f>
        <v>09</v>
      </c>
      <c r="F403" s="91"/>
      <c r="G403" s="108" t="s">
        <v>314</v>
      </c>
      <c r="H403" s="91" t="s">
        <v>314</v>
      </c>
      <c r="I403" s="105" t="s">
        <v>315</v>
      </c>
      <c r="J403" s="102"/>
      <c r="K403" s="86"/>
      <c r="L403" s="86"/>
    </row>
    <row r="404">
      <c r="A404" s="86"/>
      <c r="B404" s="86"/>
      <c r="C404" s="7"/>
      <c r="D404" s="95"/>
      <c r="E404" s="96" t="str">
        <f>HYPERLINK("https://docs.google.com/document/d/1-Ymuq5pC204UlGJoeyo2Z0L-gIYHKT4EVs-YULrkUeY/edit?usp=sharing","10")</f>
        <v>10</v>
      </c>
      <c r="F404" s="104" t="s">
        <v>330</v>
      </c>
      <c r="G404" s="98" t="s">
        <v>315</v>
      </c>
      <c r="H404" s="104" t="s">
        <v>314</v>
      </c>
      <c r="I404" s="36" t="s">
        <v>315</v>
      </c>
      <c r="J404" s="99"/>
      <c r="K404" s="7"/>
      <c r="L404" s="7"/>
    </row>
    <row r="405">
      <c r="A405" s="86"/>
      <c r="B405" s="86"/>
      <c r="C405" s="83" t="s">
        <v>231</v>
      </c>
      <c r="D405" s="87">
        <v>5.0</v>
      </c>
      <c r="E405" s="88" t="str">
        <f>HYPERLINK("https://docs.google.com/document/d/1Mrdy_86Es8cTXsqkGcHhJ4qLp8uFM-9q0LQuxxGoV0A/edit?usp=sharing","01")</f>
        <v>01</v>
      </c>
      <c r="F405" s="100" t="s">
        <v>546</v>
      </c>
      <c r="G405" s="90" t="s">
        <v>314</v>
      </c>
      <c r="H405" s="100" t="s">
        <v>314</v>
      </c>
      <c r="I405" s="92" t="s">
        <v>315</v>
      </c>
      <c r="J405" s="93" t="s">
        <v>66</v>
      </c>
      <c r="K405" s="83" t="s">
        <v>37</v>
      </c>
      <c r="L405" s="101" t="s">
        <v>553</v>
      </c>
    </row>
    <row r="406">
      <c r="A406" s="86"/>
      <c r="B406" s="86"/>
      <c r="C406" s="86"/>
      <c r="D406" s="137"/>
      <c r="E406" s="106" t="str">
        <f>HYPERLINK("https://docs.google.com/document/d/1GcKg1WboTJmRQM50gPWv7xPLfBrFg9s2B0CpAfeRplk/edit?usp=sharing","05")</f>
        <v>05</v>
      </c>
      <c r="F406" s="91" t="s">
        <v>549</v>
      </c>
      <c r="G406" s="108" t="s">
        <v>315</v>
      </c>
      <c r="H406" s="91" t="s">
        <v>315</v>
      </c>
      <c r="I406" s="105" t="s">
        <v>314</v>
      </c>
      <c r="J406" s="102"/>
      <c r="K406" s="86"/>
      <c r="L406" s="86"/>
    </row>
    <row r="407">
      <c r="A407" s="86"/>
      <c r="B407" s="86"/>
      <c r="C407" s="86"/>
      <c r="D407" s="137"/>
      <c r="E407" s="106" t="str">
        <f>HYPERLINK("https://docs.google.com/document/d/1sl8oJ6idyLUmSuieXMUfdQWGT4ADhQ5DZfkXdVRCi5M/edit?usp=sharing","07")</f>
        <v>07</v>
      </c>
      <c r="F407" s="91" t="s">
        <v>9</v>
      </c>
      <c r="G407" s="108" t="s">
        <v>315</v>
      </c>
      <c r="H407" s="91" t="s">
        <v>314</v>
      </c>
      <c r="I407" s="105" t="s">
        <v>315</v>
      </c>
      <c r="J407" s="102"/>
      <c r="K407" s="86"/>
      <c r="L407" s="86"/>
    </row>
    <row r="408">
      <c r="A408" s="86"/>
      <c r="B408" s="86"/>
      <c r="C408" s="86"/>
      <c r="D408" s="137"/>
      <c r="E408" s="106" t="str">
        <f>HYPERLINK("https://docs.google.com/document/d/1YWaNbCEhUn5bPhxnCGYiNiEN8DNUL3fsugFnDyneEl0/edit?usp=sharing","08")</f>
        <v>08</v>
      </c>
      <c r="F408" s="91"/>
      <c r="G408" s="108" t="s">
        <v>314</v>
      </c>
      <c r="H408" s="91" t="s">
        <v>314</v>
      </c>
      <c r="I408" s="105" t="s">
        <v>315</v>
      </c>
      <c r="J408" s="102"/>
      <c r="K408" s="86"/>
      <c r="L408" s="86"/>
    </row>
    <row r="409">
      <c r="A409" s="86"/>
      <c r="B409" s="86"/>
      <c r="C409" s="7"/>
      <c r="D409" s="95"/>
      <c r="E409" s="96" t="str">
        <f>HYPERLINK("https://docs.google.com/document/d/1-Ymuq5pC204UlGJoeyo2Z0L-gIYHKT4EVs-YULrkUeY/edit?usp=sharing","10")</f>
        <v>10</v>
      </c>
      <c r="F409" s="104"/>
      <c r="G409" s="98" t="s">
        <v>315</v>
      </c>
      <c r="H409" s="104" t="s">
        <v>314</v>
      </c>
      <c r="I409" s="36" t="s">
        <v>315</v>
      </c>
      <c r="J409" s="99"/>
      <c r="K409" s="7"/>
      <c r="L409" s="7"/>
    </row>
    <row r="410">
      <c r="A410" s="86"/>
      <c r="B410" s="86"/>
      <c r="C410" s="83" t="s">
        <v>554</v>
      </c>
      <c r="D410" s="87">
        <v>4.0</v>
      </c>
      <c r="E410" s="88" t="str">
        <f>HYPERLINK("https://docs.google.com/document/d/1G7gXFXVPKPb78PojH6hdr7RBEYCDgmI36xjTNVYwk5w/edit?usp=sharing","02")</f>
        <v>02</v>
      </c>
      <c r="F410" s="89"/>
      <c r="G410" s="90" t="s">
        <v>315</v>
      </c>
      <c r="H410" s="100" t="s">
        <v>315</v>
      </c>
      <c r="I410" s="92" t="s">
        <v>314</v>
      </c>
      <c r="J410" s="93" t="s">
        <v>56</v>
      </c>
      <c r="K410" s="83" t="s">
        <v>24</v>
      </c>
      <c r="L410" s="101" t="s">
        <v>340</v>
      </c>
    </row>
    <row r="411">
      <c r="A411" s="86"/>
      <c r="B411" s="86"/>
      <c r="C411" s="86"/>
      <c r="D411" s="137"/>
      <c r="E411" s="106" t="str">
        <f>HYPERLINK("https://docs.google.com/document/d/1agRcooUrAnxHuZP-sC_QXhAVQAZFTA_XMcNNrgUVNrM/edit?usp=sharing","03")</f>
        <v>03</v>
      </c>
      <c r="F411" s="107"/>
      <c r="G411" s="108" t="s">
        <v>314</v>
      </c>
      <c r="H411" s="91" t="s">
        <v>314</v>
      </c>
      <c r="I411" s="105" t="s">
        <v>315</v>
      </c>
      <c r="J411" s="102"/>
      <c r="K411" s="86"/>
      <c r="L411" s="86"/>
    </row>
    <row r="412">
      <c r="A412" s="86"/>
      <c r="B412" s="86"/>
      <c r="C412" s="86"/>
      <c r="D412" s="137"/>
      <c r="E412" s="106" t="str">
        <f>HYPERLINK("https://docs.google.com/document/d/1GcKg1WboTJmRQM50gPWv7xPLfBrFg9s2B0CpAfeRplk/edit?usp=sharing","05")</f>
        <v>05</v>
      </c>
      <c r="F412" s="91" t="s">
        <v>549</v>
      </c>
      <c r="G412" s="108" t="s">
        <v>314</v>
      </c>
      <c r="H412" s="91" t="s">
        <v>314</v>
      </c>
      <c r="I412" s="105" t="s">
        <v>315</v>
      </c>
      <c r="J412" s="102"/>
      <c r="K412" s="86"/>
      <c r="L412" s="86"/>
    </row>
    <row r="413">
      <c r="A413" s="86"/>
      <c r="B413" s="86"/>
      <c r="C413" s="7"/>
      <c r="D413" s="95"/>
      <c r="E413" s="96" t="str">
        <f>HYPERLINK("https://docs.google.com/document/d/1-Ymuq5pC204UlGJoeyo2Z0L-gIYHKT4EVs-YULrkUeY/edit?usp=sharing","10")</f>
        <v>10</v>
      </c>
      <c r="F413" s="104"/>
      <c r="G413" s="98" t="s">
        <v>315</v>
      </c>
      <c r="H413" s="104" t="s">
        <v>314</v>
      </c>
      <c r="I413" s="36" t="s">
        <v>315</v>
      </c>
      <c r="J413" s="99"/>
      <c r="K413" s="7"/>
      <c r="L413" s="7"/>
    </row>
    <row r="414">
      <c r="A414" s="86"/>
      <c r="B414" s="86"/>
      <c r="C414" s="83" t="s">
        <v>555</v>
      </c>
      <c r="D414" s="87">
        <v>2.0</v>
      </c>
      <c r="E414" s="88" t="str">
        <f>HYPERLINK("https://docs.google.com/document/d/1agRcooUrAnxHuZP-sC_QXhAVQAZFTA_XMcNNrgUVNrM/edit?usp=sharing","03")</f>
        <v>03</v>
      </c>
      <c r="F414" s="89"/>
      <c r="G414" s="90" t="s">
        <v>315</v>
      </c>
      <c r="H414" s="100" t="s">
        <v>315</v>
      </c>
      <c r="I414" s="92" t="s">
        <v>314</v>
      </c>
      <c r="J414" s="93" t="s">
        <v>70</v>
      </c>
      <c r="K414" s="83" t="s">
        <v>40</v>
      </c>
      <c r="L414" s="122"/>
    </row>
    <row r="415">
      <c r="A415" s="86"/>
      <c r="B415" s="86"/>
      <c r="C415" s="7"/>
      <c r="D415" s="95"/>
      <c r="E415" s="96" t="str">
        <f>HYPERLINK("https://docs.google.com/document/d/1YWaNbCEhUn5bPhxnCGYiNiEN8DNUL3fsugFnDyneEl0/edit?usp=sharing","08")</f>
        <v>08</v>
      </c>
      <c r="F415" s="97"/>
      <c r="G415" s="98" t="s">
        <v>314</v>
      </c>
      <c r="H415" s="104" t="s">
        <v>314</v>
      </c>
      <c r="I415" s="36" t="s">
        <v>315</v>
      </c>
      <c r="J415" s="99"/>
      <c r="K415" s="7"/>
      <c r="L415" s="7"/>
    </row>
    <row r="416">
      <c r="A416" s="86"/>
      <c r="B416" s="86"/>
      <c r="C416" s="83" t="s">
        <v>556</v>
      </c>
      <c r="D416" s="87">
        <v>5.0</v>
      </c>
      <c r="E416" s="88" t="str">
        <f>HYPERLINK("https://docs.google.com/document/d/1agRcooUrAnxHuZP-sC_QXhAVQAZFTA_XMcNNrgUVNrM/edit?usp=sharing","03")</f>
        <v>03</v>
      </c>
      <c r="F416" s="89"/>
      <c r="G416" s="90" t="s">
        <v>315</v>
      </c>
      <c r="H416" s="100" t="s">
        <v>315</v>
      </c>
      <c r="I416" s="92" t="s">
        <v>314</v>
      </c>
      <c r="J416" s="93" t="s">
        <v>41</v>
      </c>
      <c r="K416" s="83" t="s">
        <v>45</v>
      </c>
      <c r="L416" s="101" t="s">
        <v>340</v>
      </c>
    </row>
    <row r="417">
      <c r="A417" s="86"/>
      <c r="B417" s="86"/>
      <c r="C417" s="86"/>
      <c r="D417" s="137"/>
      <c r="E417" s="106" t="str">
        <f>HYPERLINK("https://docs.google.com/document/d/1sl8oJ6idyLUmSuieXMUfdQWGT4ADhQ5DZfkXdVRCi5M/edit?usp=sharing","07")</f>
        <v>07</v>
      </c>
      <c r="F417" s="91" t="s">
        <v>9</v>
      </c>
      <c r="G417" s="108" t="s">
        <v>315</v>
      </c>
      <c r="H417" s="91" t="s">
        <v>314</v>
      </c>
      <c r="I417" s="105" t="s">
        <v>315</v>
      </c>
      <c r="J417" s="102"/>
      <c r="K417" s="86"/>
      <c r="L417" s="86"/>
    </row>
    <row r="418">
      <c r="A418" s="86"/>
      <c r="B418" s="86"/>
      <c r="C418" s="86"/>
      <c r="D418" s="137"/>
      <c r="E418" s="106" t="str">
        <f>HYPERLINK("https://docs.google.com/document/d/1hhIx75O93omtbRteLbyd91xhsj4DTQrLHGYUOqb80R4/edit?usp=sharing","09")</f>
        <v>09</v>
      </c>
      <c r="F418" s="91"/>
      <c r="G418" s="108" t="s">
        <v>314</v>
      </c>
      <c r="H418" s="91" t="s">
        <v>314</v>
      </c>
      <c r="I418" s="105" t="s">
        <v>315</v>
      </c>
      <c r="J418" s="102"/>
      <c r="K418" s="86"/>
      <c r="L418" s="86"/>
    </row>
    <row r="419">
      <c r="A419" s="86"/>
      <c r="B419" s="86"/>
      <c r="C419" s="86"/>
      <c r="D419" s="137"/>
      <c r="E419" s="106" t="str">
        <f>HYPERLINK("https://docs.google.com/document/d/1-Ymuq5pC204UlGJoeyo2Z0L-gIYHKT4EVs-YULrkUeY/edit?usp=sharing","10")</f>
        <v>10</v>
      </c>
      <c r="F419" s="91"/>
      <c r="G419" s="108" t="s">
        <v>315</v>
      </c>
      <c r="H419" s="91" t="s">
        <v>314</v>
      </c>
      <c r="I419" s="105" t="s">
        <v>315</v>
      </c>
      <c r="J419" s="102"/>
      <c r="K419" s="86"/>
      <c r="L419" s="86"/>
    </row>
    <row r="420">
      <c r="A420" s="86"/>
      <c r="B420" s="86"/>
      <c r="C420" s="7"/>
      <c r="D420" s="95"/>
      <c r="E420" s="96" t="str">
        <f>HYPERLINK("https://docs.google.com/document/d/1-vZ6SR_dI985g-gWV4ERUyPuB8UqWmOSLIiyFv5FZGw/edit?usp=sharing","13")</f>
        <v>13</v>
      </c>
      <c r="F420" s="104"/>
      <c r="G420" s="98" t="s">
        <v>314</v>
      </c>
      <c r="H420" s="104" t="s">
        <v>314</v>
      </c>
      <c r="I420" s="36" t="s">
        <v>315</v>
      </c>
      <c r="J420" s="99"/>
      <c r="K420" s="7"/>
      <c r="L420" s="7"/>
    </row>
    <row r="421">
      <c r="A421" s="86"/>
      <c r="B421" s="86"/>
      <c r="C421" s="83" t="s">
        <v>557</v>
      </c>
      <c r="D421" s="87">
        <v>2.0</v>
      </c>
      <c r="E421" s="88" t="str">
        <f>HYPERLINK("https://docs.google.com/document/d/1GcKg1WboTJmRQM50gPWv7xPLfBrFg9s2B0CpAfeRplk/edit?usp=sharing","05")</f>
        <v>05</v>
      </c>
      <c r="F421" s="100" t="s">
        <v>549</v>
      </c>
      <c r="G421" s="90" t="s">
        <v>315</v>
      </c>
      <c r="H421" s="100" t="s">
        <v>315</v>
      </c>
      <c r="I421" s="92" t="s">
        <v>314</v>
      </c>
      <c r="J421" s="93" t="s">
        <v>34</v>
      </c>
      <c r="K421" s="83" t="s">
        <v>33</v>
      </c>
      <c r="L421" s="101" t="s">
        <v>340</v>
      </c>
    </row>
    <row r="422">
      <c r="A422" s="86"/>
      <c r="B422" s="86"/>
      <c r="C422" s="7"/>
      <c r="D422" s="95"/>
      <c r="E422" s="96" t="str">
        <f>HYPERLINK("https://docs.google.com/document/d/1JyMRweh-IClvNHbH_7_hR_pWwQNQ8euxdNBBXBtMvsY/edit?usp=sharing","06")</f>
        <v>06</v>
      </c>
      <c r="F422" s="104" t="s">
        <v>550</v>
      </c>
      <c r="G422" s="98" t="s">
        <v>315</v>
      </c>
      <c r="H422" s="104" t="s">
        <v>334</v>
      </c>
      <c r="I422" s="36" t="s">
        <v>315</v>
      </c>
      <c r="J422" s="99"/>
      <c r="K422" s="7"/>
      <c r="L422" s="7"/>
    </row>
    <row r="423">
      <c r="A423" s="86"/>
      <c r="B423" s="86"/>
      <c r="C423" s="121" t="s">
        <v>558</v>
      </c>
      <c r="D423" s="134">
        <v>1.0</v>
      </c>
      <c r="E423" s="84" t="str">
        <f>HYPERLINK("https://docs.google.com/document/d/1-Ymuq5pC204UlGJoeyo2Z0L-gIYHKT4EVs-YULrkUeY/edit?usp=sharing","10")</f>
        <v>10</v>
      </c>
      <c r="F423" s="27"/>
      <c r="G423" s="103" t="s">
        <v>315</v>
      </c>
      <c r="H423" s="10" t="s">
        <v>314</v>
      </c>
      <c r="I423" s="43" t="s">
        <v>315</v>
      </c>
      <c r="J423" s="135" t="s">
        <v>32</v>
      </c>
      <c r="K423" s="121" t="s">
        <v>31</v>
      </c>
      <c r="L423" s="128"/>
    </row>
    <row r="424">
      <c r="A424" s="7"/>
      <c r="B424" s="7"/>
      <c r="C424" s="121" t="s">
        <v>239</v>
      </c>
      <c r="D424" s="134">
        <v>1.0</v>
      </c>
      <c r="E424" s="84" t="str">
        <f>HYPERLINK("https://docs.google.com/document/d/1G7gXFXVPKPb78PojH6hdr7RBEYCDgmI36xjTNVYwk5w/edit?usp=sharing","02")</f>
        <v>02</v>
      </c>
      <c r="F424" s="27"/>
      <c r="G424" s="103" t="s">
        <v>314</v>
      </c>
      <c r="H424" s="10" t="s">
        <v>314</v>
      </c>
      <c r="I424" s="43" t="s">
        <v>315</v>
      </c>
      <c r="J424" s="135" t="s">
        <v>29</v>
      </c>
      <c r="K424" s="121" t="s">
        <v>28</v>
      </c>
      <c r="L424" s="128"/>
    </row>
    <row r="425">
      <c r="A425" s="82" t="str">
        <f>HYPERLINK("https://docs.google.com/spreadsheets/d/1ReMaq-fM8zzflOjjrMrgnxEsdZxPIPIJqiZ9cCLO3cE/edit?usp=sharing","25")</f>
        <v>25</v>
      </c>
      <c r="B425" s="83">
        <v>28.0</v>
      </c>
      <c r="C425" s="121" t="s">
        <v>559</v>
      </c>
      <c r="D425" s="134">
        <v>1.0</v>
      </c>
      <c r="E425" s="84" t="str">
        <f t="shared" ref="E425:E426" si="20">HYPERLINK("https://docs.google.com/document/d/1rNiGVVv_hncm5CzAQoGpaApOmThC7Xi75xe6r_yLemk/edit?usp=sharing","02")</f>
        <v>02</v>
      </c>
      <c r="F425" s="27"/>
      <c r="G425" s="103" t="s">
        <v>315</v>
      </c>
      <c r="H425" s="10" t="s">
        <v>315</v>
      </c>
      <c r="I425" s="43" t="s">
        <v>314</v>
      </c>
      <c r="J425" s="135" t="s">
        <v>114</v>
      </c>
      <c r="K425" s="121" t="s">
        <v>60</v>
      </c>
      <c r="L425" s="136" t="s">
        <v>560</v>
      </c>
    </row>
    <row r="426">
      <c r="A426" s="86"/>
      <c r="B426" s="86"/>
      <c r="C426" s="83" t="s">
        <v>561</v>
      </c>
      <c r="D426" s="87">
        <v>2.0</v>
      </c>
      <c r="E426" s="88" t="str">
        <f t="shared" si="20"/>
        <v>02</v>
      </c>
      <c r="F426" s="89"/>
      <c r="G426" s="90" t="s">
        <v>315</v>
      </c>
      <c r="H426" s="100" t="s">
        <v>315</v>
      </c>
      <c r="I426" s="92" t="s">
        <v>314</v>
      </c>
      <c r="J426" s="93" t="s">
        <v>91</v>
      </c>
      <c r="K426" s="83" t="s">
        <v>60</v>
      </c>
      <c r="L426" s="101" t="s">
        <v>340</v>
      </c>
    </row>
    <row r="427">
      <c r="A427" s="86"/>
      <c r="B427" s="86"/>
      <c r="C427" s="7"/>
      <c r="D427" s="95"/>
      <c r="E427" s="96" t="str">
        <f>HYPERLINK("https://docs.google.com/document/d/1FIc0po0apmiARmcMaVrFyVfC4YItbWFKtlWi04ETpN0/edit?usp=sharing","03")</f>
        <v>03</v>
      </c>
      <c r="F427" s="97"/>
      <c r="G427" s="98" t="s">
        <v>315</v>
      </c>
      <c r="H427" s="104" t="s">
        <v>315</v>
      </c>
      <c r="I427" s="36" t="s">
        <v>314</v>
      </c>
      <c r="J427" s="99"/>
      <c r="K427" s="7"/>
      <c r="L427" s="7"/>
    </row>
    <row r="428">
      <c r="A428" s="86"/>
      <c r="B428" s="86"/>
      <c r="C428" s="83" t="s">
        <v>562</v>
      </c>
      <c r="D428" s="87">
        <v>3.0</v>
      </c>
      <c r="E428" s="88" t="str">
        <f>HYPERLINK("https://docs.google.com/document/d/1rNiGVVv_hncm5CzAQoGpaApOmThC7Xi75xe6r_yLemk/edit?usp=sharing","02")</f>
        <v>02</v>
      </c>
      <c r="F428" s="89"/>
      <c r="G428" s="90" t="s">
        <v>315</v>
      </c>
      <c r="H428" s="100" t="s">
        <v>315</v>
      </c>
      <c r="I428" s="92" t="s">
        <v>314</v>
      </c>
      <c r="J428" s="93" t="s">
        <v>105</v>
      </c>
      <c r="K428" s="83" t="s">
        <v>60</v>
      </c>
      <c r="L428" s="101" t="s">
        <v>364</v>
      </c>
    </row>
    <row r="429">
      <c r="A429" s="86"/>
      <c r="B429" s="86"/>
      <c r="C429" s="86"/>
      <c r="D429" s="137"/>
      <c r="E429" s="106" t="str">
        <f>HYPERLINK("https://docs.google.com/document/d/1FIc0po0apmiARmcMaVrFyVfC4YItbWFKtlWi04ETpN0/edit?usp=sharing","03")</f>
        <v>03</v>
      </c>
      <c r="F429" s="107"/>
      <c r="G429" s="108" t="s">
        <v>315</v>
      </c>
      <c r="H429" s="91" t="s">
        <v>315</v>
      </c>
      <c r="I429" s="105" t="s">
        <v>314</v>
      </c>
      <c r="J429" s="102"/>
      <c r="K429" s="86"/>
      <c r="L429" s="86"/>
    </row>
    <row r="430">
      <c r="A430" s="86"/>
      <c r="B430" s="86"/>
      <c r="C430" s="7"/>
      <c r="D430" s="95"/>
      <c r="E430" s="96" t="str">
        <f>HYPERLINK("https://docs.google.com/document/d/1aqpPUjVAfQgvFriEI4urWdYA0Yo8GNuqXQIuuPsa1gk/edit?usp=sharing","04")</f>
        <v>04</v>
      </c>
      <c r="F430" s="97"/>
      <c r="G430" s="98" t="s">
        <v>315</v>
      </c>
      <c r="H430" s="104" t="s">
        <v>315</v>
      </c>
      <c r="I430" s="36" t="s">
        <v>314</v>
      </c>
      <c r="J430" s="99"/>
      <c r="K430" s="7"/>
      <c r="L430" s="7"/>
    </row>
    <row r="431">
      <c r="A431" s="86"/>
      <c r="B431" s="86"/>
      <c r="C431" s="83" t="s">
        <v>563</v>
      </c>
      <c r="D431" s="87">
        <v>4.0</v>
      </c>
      <c r="E431" s="88" t="str">
        <f>HYPERLINK("https://docs.google.com/document/d/11WlBqVwX734sxP_KjVVWqPJ9n-O621MXI0t7XUe6yIg/edit?usp=sharing","01")</f>
        <v>01</v>
      </c>
      <c r="F431" s="100" t="s">
        <v>318</v>
      </c>
      <c r="G431" s="90" t="s">
        <v>315</v>
      </c>
      <c r="H431" s="100" t="s">
        <v>315</v>
      </c>
      <c r="I431" s="92" t="s">
        <v>314</v>
      </c>
      <c r="J431" s="93" t="s">
        <v>83</v>
      </c>
      <c r="K431" s="83" t="s">
        <v>43</v>
      </c>
      <c r="L431" s="101" t="s">
        <v>564</v>
      </c>
    </row>
    <row r="432">
      <c r="A432" s="86"/>
      <c r="B432" s="86"/>
      <c r="C432" s="86"/>
      <c r="D432" s="137"/>
      <c r="E432" s="106" t="str">
        <f>HYPERLINK("https://docs.google.com/document/d/1rNiGVVv_hncm5CzAQoGpaApOmThC7Xi75xe6r_yLemk/edit?usp=sharing","02")</f>
        <v>02</v>
      </c>
      <c r="F432" s="91"/>
      <c r="G432" s="108" t="s">
        <v>315</v>
      </c>
      <c r="H432" s="91" t="s">
        <v>315</v>
      </c>
      <c r="I432" s="105" t="s">
        <v>314</v>
      </c>
      <c r="J432" s="102"/>
      <c r="K432" s="86"/>
      <c r="L432" s="86"/>
    </row>
    <row r="433">
      <c r="A433" s="86"/>
      <c r="B433" s="86"/>
      <c r="C433" s="86"/>
      <c r="D433" s="137"/>
      <c r="E433" s="106" t="str">
        <f>HYPERLINK("https://docs.google.com/document/d/1aqpPUjVAfQgvFriEI4urWdYA0Yo8GNuqXQIuuPsa1gk/edit?usp=sharing","04")</f>
        <v>04</v>
      </c>
      <c r="F433" s="91"/>
      <c r="G433" s="108" t="s">
        <v>315</v>
      </c>
      <c r="H433" s="91" t="s">
        <v>315</v>
      </c>
      <c r="I433" s="105" t="s">
        <v>314</v>
      </c>
      <c r="J433" s="102"/>
      <c r="K433" s="86"/>
      <c r="L433" s="86"/>
    </row>
    <row r="434">
      <c r="A434" s="86"/>
      <c r="B434" s="86"/>
      <c r="C434" s="7"/>
      <c r="D434" s="95"/>
      <c r="E434" s="96" t="str">
        <f>HYPERLINK("https://docs.google.com/document/d/1U8oauxWS7aUTLDBnQO2y3MSo9j8GDW708ljpLRRB9oI/edit?usp=sharing","05")</f>
        <v>05</v>
      </c>
      <c r="F434" s="104" t="s">
        <v>565</v>
      </c>
      <c r="G434" s="98" t="s">
        <v>315</v>
      </c>
      <c r="H434" s="104" t="s">
        <v>315</v>
      </c>
      <c r="I434" s="36" t="s">
        <v>314</v>
      </c>
      <c r="J434" s="99"/>
      <c r="K434" s="7"/>
      <c r="L434" s="7"/>
    </row>
    <row r="435">
      <c r="A435" s="86"/>
      <c r="B435" s="86"/>
      <c r="C435" s="121" t="s">
        <v>566</v>
      </c>
      <c r="D435" s="134">
        <v>1.0</v>
      </c>
      <c r="E435" s="84" t="str">
        <f>HYPERLINK("https://docs.google.com/document/d/1rNiGVVv_hncm5CzAQoGpaApOmThC7Xi75xe6r_yLemk/edit?usp=sharing","02")</f>
        <v>02</v>
      </c>
      <c r="F435" s="27"/>
      <c r="G435" s="103" t="s">
        <v>315</v>
      </c>
      <c r="H435" s="10" t="s">
        <v>315</v>
      </c>
      <c r="I435" s="43" t="s">
        <v>314</v>
      </c>
      <c r="J435" s="135" t="s">
        <v>47</v>
      </c>
      <c r="K435" s="121" t="s">
        <v>58</v>
      </c>
      <c r="L435" s="128"/>
    </row>
    <row r="436">
      <c r="A436" s="86"/>
      <c r="B436" s="86"/>
      <c r="C436" s="83" t="s">
        <v>567</v>
      </c>
      <c r="D436" s="87">
        <v>8.0</v>
      </c>
      <c r="E436" s="88" t="str">
        <f>HYPERLINK("https://docs.google.com/document/d/11WlBqVwX734sxP_KjVVWqPJ9n-O621MXI0t7XUe6yIg/edit?usp=sharing","01")</f>
        <v>01</v>
      </c>
      <c r="F436" s="100" t="s">
        <v>318</v>
      </c>
      <c r="G436" s="90" t="s">
        <v>315</v>
      </c>
      <c r="H436" s="100" t="s">
        <v>315</v>
      </c>
      <c r="I436" s="92" t="s">
        <v>314</v>
      </c>
      <c r="J436" s="93" t="s">
        <v>56</v>
      </c>
      <c r="K436" s="83" t="s">
        <v>37</v>
      </c>
      <c r="L436" s="101" t="s">
        <v>568</v>
      </c>
    </row>
    <row r="437">
      <c r="A437" s="86"/>
      <c r="B437" s="86"/>
      <c r="C437" s="86"/>
      <c r="D437" s="137"/>
      <c r="E437" s="106" t="str">
        <f>HYPERLINK("https://docs.google.com/document/d/1rNiGVVv_hncm5CzAQoGpaApOmThC7Xi75xe6r_yLemk/edit?usp=sharing","02")</f>
        <v>02</v>
      </c>
      <c r="F437" s="91"/>
      <c r="G437" s="108" t="s">
        <v>315</v>
      </c>
      <c r="H437" s="91" t="s">
        <v>315</v>
      </c>
      <c r="I437" s="105" t="s">
        <v>314</v>
      </c>
      <c r="J437" s="102"/>
      <c r="K437" s="86"/>
      <c r="L437" s="86"/>
    </row>
    <row r="438">
      <c r="A438" s="86"/>
      <c r="B438" s="86"/>
      <c r="C438" s="86"/>
      <c r="D438" s="137"/>
      <c r="E438" s="106" t="str">
        <f>HYPERLINK("https://docs.google.com/document/d/1FIc0po0apmiARmcMaVrFyVfC4YItbWFKtlWi04ETpN0/edit?usp=sharing","03")</f>
        <v>03</v>
      </c>
      <c r="F438" s="91"/>
      <c r="G438" s="108" t="s">
        <v>315</v>
      </c>
      <c r="H438" s="91" t="s">
        <v>315</v>
      </c>
      <c r="I438" s="105" t="s">
        <v>314</v>
      </c>
      <c r="J438" s="102"/>
      <c r="K438" s="86"/>
      <c r="L438" s="86"/>
    </row>
    <row r="439">
      <c r="A439" s="86"/>
      <c r="B439" s="86"/>
      <c r="C439" s="86"/>
      <c r="D439" s="137"/>
      <c r="E439" s="106" t="str">
        <f>HYPERLINK("https://docs.google.com/document/d/1U8oauxWS7aUTLDBnQO2y3MSo9j8GDW708ljpLRRB9oI/edit?usp=sharing","05")</f>
        <v>05</v>
      </c>
      <c r="F439" s="91" t="s">
        <v>565</v>
      </c>
      <c r="G439" s="108" t="s">
        <v>314</v>
      </c>
      <c r="H439" s="91" t="s">
        <v>314</v>
      </c>
      <c r="I439" s="105" t="s">
        <v>315</v>
      </c>
      <c r="J439" s="102"/>
      <c r="K439" s="86"/>
      <c r="L439" s="86"/>
    </row>
    <row r="440">
      <c r="A440" s="86"/>
      <c r="B440" s="86"/>
      <c r="C440" s="86"/>
      <c r="D440" s="137"/>
      <c r="E440" s="106" t="str">
        <f>HYPERLINK("https://docs.google.com/document/d/1g4hSYhyCSbXSBC9xpqwrrkYVOKNbkqGu6L8H49TQN4E/edit?usp=sharing","07")</f>
        <v>07</v>
      </c>
      <c r="F440" s="91" t="s">
        <v>9</v>
      </c>
      <c r="G440" s="108" t="s">
        <v>315</v>
      </c>
      <c r="H440" s="91" t="s">
        <v>315</v>
      </c>
      <c r="I440" s="105" t="s">
        <v>315</v>
      </c>
      <c r="J440" s="102"/>
      <c r="K440" s="86"/>
      <c r="L440" s="86"/>
    </row>
    <row r="441">
      <c r="A441" s="86"/>
      <c r="B441" s="86"/>
      <c r="C441" s="86"/>
      <c r="D441" s="137"/>
      <c r="E441" s="106" t="str">
        <f>HYPERLINK("https://docs.google.com/document/d/1bLIqvUbHOXbtCFTiAyqCrOQiqsuGcHBZGLNBsk487RY/edit?usp=sharing","08")</f>
        <v>08</v>
      </c>
      <c r="F441" s="91"/>
      <c r="G441" s="108" t="s">
        <v>314</v>
      </c>
      <c r="H441" s="91" t="s">
        <v>314</v>
      </c>
      <c r="I441" s="105" t="s">
        <v>315</v>
      </c>
      <c r="J441" s="102"/>
      <c r="K441" s="86"/>
      <c r="L441" s="86"/>
    </row>
    <row r="442">
      <c r="A442" s="86"/>
      <c r="B442" s="86"/>
      <c r="C442" s="86"/>
      <c r="D442" s="137"/>
      <c r="E442" s="106" t="str">
        <f>HYPERLINK("https://docs.google.com/document/d/1FU1fWx8O3IUhQTj4_hBZqJBBgeE34TIn7nWqjbuhsq8/edit?usp=sharing","10")</f>
        <v>10</v>
      </c>
      <c r="F442" s="91"/>
      <c r="G442" s="108" t="s">
        <v>315</v>
      </c>
      <c r="H442" s="91" t="s">
        <v>315</v>
      </c>
      <c r="I442" s="105" t="s">
        <v>315</v>
      </c>
      <c r="J442" s="102"/>
      <c r="K442" s="86"/>
      <c r="L442" s="86"/>
    </row>
    <row r="443">
      <c r="A443" s="86"/>
      <c r="B443" s="86"/>
      <c r="C443" s="7"/>
      <c r="D443" s="95"/>
      <c r="E443" s="96" t="str">
        <f>HYPERLINK("https://docs.google.com/document/d/1hhmS4DjZjGzc9F0czkK5ifQohPhyhoQvbYV8DEYXUEw/edit?usp=sharing","11")</f>
        <v>11</v>
      </c>
      <c r="F443" s="104"/>
      <c r="G443" s="98" t="s">
        <v>315</v>
      </c>
      <c r="H443" s="104" t="s">
        <v>314</v>
      </c>
      <c r="I443" s="36" t="s">
        <v>315</v>
      </c>
      <c r="J443" s="99"/>
      <c r="K443" s="7"/>
      <c r="L443" s="7"/>
    </row>
    <row r="444">
      <c r="A444" s="86"/>
      <c r="B444" s="86"/>
      <c r="C444" s="83" t="s">
        <v>152</v>
      </c>
      <c r="D444" s="87">
        <v>3.0</v>
      </c>
      <c r="E444" s="88" t="str">
        <f>HYPERLINK("https://docs.google.com/document/d/1U8oauxWS7aUTLDBnQO2y3MSo9j8GDW708ljpLRRB9oI/edit?usp=sharing","05")</f>
        <v>05</v>
      </c>
      <c r="F444" s="100" t="s">
        <v>565</v>
      </c>
      <c r="G444" s="90" t="s">
        <v>315</v>
      </c>
      <c r="H444" s="100" t="s">
        <v>315</v>
      </c>
      <c r="I444" s="92" t="s">
        <v>314</v>
      </c>
      <c r="J444" s="93" t="s">
        <v>70</v>
      </c>
      <c r="K444" s="83" t="s">
        <v>24</v>
      </c>
      <c r="L444" s="101" t="s">
        <v>340</v>
      </c>
    </row>
    <row r="445">
      <c r="A445" s="86"/>
      <c r="B445" s="86"/>
      <c r="C445" s="86"/>
      <c r="D445" s="137"/>
      <c r="E445" s="106" t="str">
        <f>HYPERLINK("https://docs.google.com/document/d/1g4hSYhyCSbXSBC9xpqwrrkYVOKNbkqGu6L8H49TQN4E/edit?usp=sharing","07")</f>
        <v>07</v>
      </c>
      <c r="F445" s="91" t="s">
        <v>9</v>
      </c>
      <c r="G445" s="108" t="s">
        <v>315</v>
      </c>
      <c r="H445" s="91" t="s">
        <v>314</v>
      </c>
      <c r="I445" s="105" t="s">
        <v>315</v>
      </c>
      <c r="J445" s="102"/>
      <c r="K445" s="86"/>
      <c r="L445" s="86"/>
    </row>
    <row r="446">
      <c r="A446" s="86"/>
      <c r="B446" s="86"/>
      <c r="C446" s="7"/>
      <c r="D446" s="95"/>
      <c r="E446" s="96" t="str">
        <f>HYPERLINK("https://docs.google.com/document/d/1bLIqvUbHOXbtCFTiAyqCrOQiqsuGcHBZGLNBsk487RY/edit?usp=sharing","08")</f>
        <v>08</v>
      </c>
      <c r="F446" s="104"/>
      <c r="G446" s="98" t="s">
        <v>314</v>
      </c>
      <c r="H446" s="104" t="s">
        <v>314</v>
      </c>
      <c r="I446" s="36" t="s">
        <v>315</v>
      </c>
      <c r="J446" s="99"/>
      <c r="K446" s="7"/>
      <c r="L446" s="7"/>
    </row>
    <row r="447">
      <c r="A447" s="86"/>
      <c r="B447" s="86"/>
      <c r="C447" s="121" t="s">
        <v>246</v>
      </c>
      <c r="D447" s="134">
        <v>1.0</v>
      </c>
      <c r="E447" s="84" t="str">
        <f>HYPERLINK("https://docs.google.com/document/d/1EBb8iJbXpF9JEuT4VQpyuopKdnFsGYnhl487or2VWsE/edit?usp=sharing","06")</f>
        <v>06</v>
      </c>
      <c r="F447" s="27"/>
      <c r="G447" s="103" t="s">
        <v>314</v>
      </c>
      <c r="H447" s="10" t="s">
        <v>315</v>
      </c>
      <c r="I447" s="43" t="s">
        <v>314</v>
      </c>
      <c r="J447" s="135" t="s">
        <v>41</v>
      </c>
      <c r="K447" s="121" t="s">
        <v>40</v>
      </c>
      <c r="L447" s="128"/>
    </row>
    <row r="448">
      <c r="A448" s="86"/>
      <c r="B448" s="86"/>
      <c r="C448" s="83" t="s">
        <v>248</v>
      </c>
      <c r="D448" s="87">
        <v>5.0</v>
      </c>
      <c r="E448" s="88" t="str">
        <f>HYPERLINK("https://docs.google.com/document/d/1rNiGVVv_hncm5CzAQoGpaApOmThC7Xi75xe6r_yLemk/edit?usp=sharing","02")</f>
        <v>02</v>
      </c>
      <c r="F448" s="89"/>
      <c r="G448" s="90" t="s">
        <v>315</v>
      </c>
      <c r="H448" s="100" t="s">
        <v>315</v>
      </c>
      <c r="I448" s="92" t="s">
        <v>314</v>
      </c>
      <c r="J448" s="93" t="s">
        <v>51</v>
      </c>
      <c r="K448" s="83" t="s">
        <v>50</v>
      </c>
      <c r="L448" s="101" t="s">
        <v>569</v>
      </c>
    </row>
    <row r="449">
      <c r="A449" s="86"/>
      <c r="B449" s="86"/>
      <c r="C449" s="86"/>
      <c r="D449" s="137"/>
      <c r="E449" s="106" t="str">
        <f>HYPERLINK("https://docs.google.com/document/d/1FIc0po0apmiARmcMaVrFyVfC4YItbWFKtlWi04ETpN0/edit?usp=sharing","03")</f>
        <v>03</v>
      </c>
      <c r="F449" s="107"/>
      <c r="G449" s="108" t="s">
        <v>315</v>
      </c>
      <c r="H449" s="91" t="s">
        <v>315</v>
      </c>
      <c r="I449" s="105" t="s">
        <v>314</v>
      </c>
      <c r="J449" s="102"/>
      <c r="K449" s="86"/>
      <c r="L449" s="86"/>
    </row>
    <row r="450">
      <c r="A450" s="86"/>
      <c r="B450" s="86"/>
      <c r="C450" s="86"/>
      <c r="D450" s="137"/>
      <c r="E450" s="106" t="str">
        <f>HYPERLINK("https://docs.google.com/document/d/1aqpPUjVAfQgvFriEI4urWdYA0Yo8GNuqXQIuuPsa1gk/edit?usp=sharing","04")</f>
        <v>04</v>
      </c>
      <c r="F450" s="107"/>
      <c r="G450" s="108" t="s">
        <v>315</v>
      </c>
      <c r="H450" s="91" t="s">
        <v>315</v>
      </c>
      <c r="I450" s="105" t="s">
        <v>314</v>
      </c>
      <c r="J450" s="102"/>
      <c r="K450" s="86"/>
      <c r="L450" s="86"/>
    </row>
    <row r="451">
      <c r="A451" s="86"/>
      <c r="B451" s="86"/>
      <c r="C451" s="86"/>
      <c r="D451" s="137"/>
      <c r="E451" s="106" t="str">
        <f>HYPERLINK("https://docs.google.com/document/d/1U8oauxWS7aUTLDBnQO2y3MSo9j8GDW708ljpLRRB9oI/edit?usp=sharing","05")</f>
        <v>05</v>
      </c>
      <c r="F451" s="91" t="s">
        <v>565</v>
      </c>
      <c r="G451" s="108" t="s">
        <v>315</v>
      </c>
      <c r="H451" s="91" t="s">
        <v>315</v>
      </c>
      <c r="I451" s="105" t="s">
        <v>314</v>
      </c>
      <c r="J451" s="102"/>
      <c r="K451" s="86"/>
      <c r="L451" s="86"/>
    </row>
    <row r="452">
      <c r="A452" s="7"/>
      <c r="B452" s="7"/>
      <c r="C452" s="7"/>
      <c r="D452" s="95"/>
      <c r="E452" s="96" t="str">
        <f>HYPERLINK("https://docs.google.com/document/d/1EBb8iJbXpF9JEuT4VQpyuopKdnFsGYnhl487or2VWsE/edit?usp=sharing","06")</f>
        <v>06</v>
      </c>
      <c r="F452" s="104"/>
      <c r="G452" s="98" t="s">
        <v>314</v>
      </c>
      <c r="H452" s="104" t="s">
        <v>315</v>
      </c>
      <c r="I452" s="36" t="s">
        <v>314</v>
      </c>
      <c r="J452" s="99"/>
      <c r="K452" s="7"/>
      <c r="L452" s="7"/>
    </row>
    <row r="453">
      <c r="A453" s="82" t="str">
        <f>HYPERLINK("https://docs.google.com/spreadsheets/d/1LR80O0PvsOvoTuN5gHQd3Rls4b1rZmJd7EZ_DR2oRHs/edit?usp=sharing","26")</f>
        <v>26</v>
      </c>
      <c r="B453" s="83">
        <v>39.0</v>
      </c>
      <c r="C453" s="83" t="s">
        <v>570</v>
      </c>
      <c r="D453" s="87">
        <v>2.0</v>
      </c>
      <c r="E453" s="88" t="str">
        <f>HYPERLINK("https://docs.google.com/document/d/1K7lfA5Z0MVhqmYYelUNuxf_n3YA5iohzf6emlz74QM4/edit?usp=sharing","01")</f>
        <v>01</v>
      </c>
      <c r="F453" s="100" t="s">
        <v>318</v>
      </c>
      <c r="G453" s="90" t="s">
        <v>314</v>
      </c>
      <c r="H453" s="100" t="s">
        <v>315</v>
      </c>
      <c r="I453" s="92" t="s">
        <v>314</v>
      </c>
      <c r="J453" s="93" t="s">
        <v>124</v>
      </c>
      <c r="K453" s="83" t="s">
        <v>60</v>
      </c>
      <c r="L453" s="101" t="s">
        <v>571</v>
      </c>
    </row>
    <row r="454">
      <c r="A454" s="86"/>
      <c r="B454" s="86"/>
      <c r="C454" s="7"/>
      <c r="D454" s="95"/>
      <c r="E454" s="96" t="str">
        <f>HYPERLINK("https://docs.google.com/document/d/1xnYgwRICbL0hYH3tOL5ElzC2jEo_8yPjIqMTz65FBw8/edit?usp=sharing","02")</f>
        <v>02</v>
      </c>
      <c r="F454" s="97"/>
      <c r="G454" s="98" t="s">
        <v>314</v>
      </c>
      <c r="H454" s="104" t="s">
        <v>314</v>
      </c>
      <c r="I454" s="36" t="s">
        <v>315</v>
      </c>
      <c r="J454" s="99"/>
      <c r="K454" s="7"/>
      <c r="L454" s="7"/>
    </row>
    <row r="455">
      <c r="A455" s="86"/>
      <c r="B455" s="86"/>
      <c r="C455" s="121" t="s">
        <v>572</v>
      </c>
      <c r="D455" s="134">
        <v>1.0</v>
      </c>
      <c r="E455" s="84" t="str">
        <f>HYPERLINK("https://docs.google.com/document/d/1ZJ3qAhwL0klYohEu-hYgPzKugVcNdpSpUx04UcSb_Wg/edit?usp=sharing","04")</f>
        <v>04</v>
      </c>
      <c r="F455" s="27"/>
      <c r="G455" s="103" t="s">
        <v>314</v>
      </c>
      <c r="H455" s="10" t="s">
        <v>314</v>
      </c>
      <c r="I455" s="43" t="s">
        <v>315</v>
      </c>
      <c r="J455" s="135" t="s">
        <v>111</v>
      </c>
      <c r="K455" s="121" t="s">
        <v>60</v>
      </c>
      <c r="L455" s="128"/>
    </row>
    <row r="456">
      <c r="A456" s="86"/>
      <c r="B456" s="86"/>
      <c r="C456" s="83" t="s">
        <v>573</v>
      </c>
      <c r="D456" s="87">
        <v>3.0</v>
      </c>
      <c r="E456" s="88" t="str">
        <f>HYPERLINK("https://docs.google.com/document/d/1xnYgwRICbL0hYH3tOL5ElzC2jEo_8yPjIqMTz65FBw8/edit?usp=sharing","02")</f>
        <v>02</v>
      </c>
      <c r="F456" s="89"/>
      <c r="G456" s="90" t="s">
        <v>314</v>
      </c>
      <c r="H456" s="100" t="s">
        <v>314</v>
      </c>
      <c r="I456" s="92" t="s">
        <v>315</v>
      </c>
      <c r="J456" s="93" t="s">
        <v>100</v>
      </c>
      <c r="K456" s="83" t="s">
        <v>60</v>
      </c>
      <c r="L456" s="101" t="s">
        <v>340</v>
      </c>
    </row>
    <row r="457">
      <c r="A457" s="86"/>
      <c r="B457" s="86"/>
      <c r="C457" s="86"/>
      <c r="D457" s="137"/>
      <c r="E457" s="106" t="str">
        <f>HYPERLINK("https://docs.google.com/document/d/1ZJ3qAhwL0klYohEu-hYgPzKugVcNdpSpUx04UcSb_Wg/edit?usp=sharing","04")</f>
        <v>04</v>
      </c>
      <c r="F457" s="107"/>
      <c r="G457" s="108" t="s">
        <v>314</v>
      </c>
      <c r="H457" s="91" t="s">
        <v>314</v>
      </c>
      <c r="I457" s="105" t="s">
        <v>315</v>
      </c>
      <c r="J457" s="102"/>
      <c r="K457" s="86"/>
      <c r="L457" s="86"/>
    </row>
    <row r="458">
      <c r="A458" s="86"/>
      <c r="B458" s="86"/>
      <c r="C458" s="7"/>
      <c r="D458" s="95"/>
      <c r="E458" s="96" t="str">
        <f>HYPERLINK("https://docs.google.com/document/d/1-y991SCrGKevK6EujEEW9jzXSihGSDYV6pLW3OWWAxY/edit?usp=sharing","05")</f>
        <v>05</v>
      </c>
      <c r="F458" s="104" t="s">
        <v>574</v>
      </c>
      <c r="G458" s="98" t="s">
        <v>314</v>
      </c>
      <c r="H458" s="104" t="s">
        <v>315</v>
      </c>
      <c r="I458" s="36" t="s">
        <v>314</v>
      </c>
      <c r="J458" s="99"/>
      <c r="K458" s="7"/>
      <c r="L458" s="7"/>
    </row>
    <row r="459">
      <c r="A459" s="86"/>
      <c r="B459" s="86"/>
      <c r="C459" s="83" t="s">
        <v>191</v>
      </c>
      <c r="D459" s="87">
        <v>3.0</v>
      </c>
      <c r="E459" s="88" t="str">
        <f>HYPERLINK("https://docs.google.com/document/d/1K7lfA5Z0MVhqmYYelUNuxf_n3YA5iohzf6emlz74QM4/edit?usp=sharing","01")</f>
        <v>01</v>
      </c>
      <c r="F459" s="100" t="s">
        <v>318</v>
      </c>
      <c r="G459" s="90" t="s">
        <v>315</v>
      </c>
      <c r="H459" s="100" t="s">
        <v>314</v>
      </c>
      <c r="I459" s="92" t="s">
        <v>315</v>
      </c>
      <c r="J459" s="93" t="s">
        <v>82</v>
      </c>
      <c r="K459" s="83" t="s">
        <v>60</v>
      </c>
      <c r="L459" s="101" t="s">
        <v>575</v>
      </c>
    </row>
    <row r="460">
      <c r="A460" s="86"/>
      <c r="B460" s="86"/>
      <c r="C460" s="86"/>
      <c r="D460" s="137"/>
      <c r="E460" s="106" t="str">
        <f>HYPERLINK("https://docs.google.com/document/d/1xnYgwRICbL0hYH3tOL5ElzC2jEo_8yPjIqMTz65FBw8/edit?usp=sharing","02")</f>
        <v>02</v>
      </c>
      <c r="F460" s="107"/>
      <c r="G460" s="108" t="s">
        <v>315</v>
      </c>
      <c r="H460" s="91" t="s">
        <v>315</v>
      </c>
      <c r="I460" s="105" t="s">
        <v>314</v>
      </c>
      <c r="J460" s="102"/>
      <c r="K460" s="86"/>
      <c r="L460" s="86"/>
    </row>
    <row r="461">
      <c r="A461" s="86"/>
      <c r="B461" s="86"/>
      <c r="C461" s="7"/>
      <c r="D461" s="95"/>
      <c r="E461" s="96" t="str">
        <f>HYPERLINK("https://docs.google.com/document/d/1ZJ3qAhwL0klYohEu-hYgPzKugVcNdpSpUx04UcSb_Wg/edit?usp=sharing","04")</f>
        <v>04</v>
      </c>
      <c r="F461" s="97"/>
      <c r="G461" s="98" t="s">
        <v>315</v>
      </c>
      <c r="H461" s="104" t="s">
        <v>315</v>
      </c>
      <c r="I461" s="36" t="s">
        <v>314</v>
      </c>
      <c r="J461" s="99"/>
      <c r="K461" s="7"/>
      <c r="L461" s="7"/>
    </row>
    <row r="462">
      <c r="A462" s="86"/>
      <c r="B462" s="86"/>
      <c r="C462" s="83" t="s">
        <v>576</v>
      </c>
      <c r="D462" s="87">
        <v>3.0</v>
      </c>
      <c r="E462" s="88" t="str">
        <f>HYPERLINK("https://docs.google.com/document/d/1xnYgwRICbL0hYH3tOL5ElzC2jEo_8yPjIqMTz65FBw8/edit?usp=sharing","02")</f>
        <v>02</v>
      </c>
      <c r="F462" s="89"/>
      <c r="G462" s="90" t="s">
        <v>314</v>
      </c>
      <c r="H462" s="100" t="s">
        <v>314</v>
      </c>
      <c r="I462" s="92" t="s">
        <v>315</v>
      </c>
      <c r="J462" s="93" t="s">
        <v>69</v>
      </c>
      <c r="K462" s="83" t="s">
        <v>84</v>
      </c>
      <c r="L462" s="122"/>
    </row>
    <row r="463">
      <c r="A463" s="86"/>
      <c r="B463" s="86"/>
      <c r="C463" s="86"/>
      <c r="D463" s="137"/>
      <c r="E463" s="106" t="str">
        <f>HYPERLINK("https://docs.google.com/document/d/19-LFsMjChXsaAs0DBqvWMTBVfcKgWpgT1LNAZ77bdGU/edit?usp=sharing","06")</f>
        <v>06</v>
      </c>
      <c r="F463" s="91" t="s">
        <v>380</v>
      </c>
      <c r="G463" s="108" t="s">
        <v>334</v>
      </c>
      <c r="H463" s="91" t="s">
        <v>314</v>
      </c>
      <c r="I463" s="105" t="s">
        <v>315</v>
      </c>
      <c r="J463" s="102"/>
      <c r="K463" s="86"/>
      <c r="L463" s="86"/>
    </row>
    <row r="464">
      <c r="A464" s="86"/>
      <c r="B464" s="86"/>
      <c r="C464" s="7"/>
      <c r="D464" s="95"/>
      <c r="E464" s="96" t="str">
        <f>HYPERLINK("https://docs.google.com/document/d/1qJYT9MoUFGIBc7PC50wEcfpTuos0GU6eG-fNIDkl-5Q/edit?usp=sharing","09")</f>
        <v>09</v>
      </c>
      <c r="F464" s="104" t="s">
        <v>330</v>
      </c>
      <c r="G464" s="98" t="s">
        <v>315</v>
      </c>
      <c r="H464" s="104" t="s">
        <v>314</v>
      </c>
      <c r="I464" s="36" t="s">
        <v>315</v>
      </c>
      <c r="J464" s="99"/>
      <c r="K464" s="7"/>
      <c r="L464" s="7"/>
    </row>
    <row r="465">
      <c r="A465" s="86"/>
      <c r="B465" s="86"/>
      <c r="C465" s="121" t="s">
        <v>162</v>
      </c>
      <c r="D465" s="134">
        <v>1.0</v>
      </c>
      <c r="E465" s="84" t="str">
        <f t="shared" ref="E465:E466" si="21">HYPERLINK("https://docs.google.com/document/d/1xnYgwRICbL0hYH3tOL5ElzC2jEo_8yPjIqMTz65FBw8/edit?usp=sharing","02")</f>
        <v>02</v>
      </c>
      <c r="F465" s="27"/>
      <c r="G465" s="103" t="s">
        <v>315</v>
      </c>
      <c r="H465" s="10" t="s">
        <v>315</v>
      </c>
      <c r="I465" s="43" t="s">
        <v>314</v>
      </c>
      <c r="J465" s="135" t="s">
        <v>44</v>
      </c>
      <c r="K465" s="121" t="s">
        <v>46</v>
      </c>
      <c r="L465" s="128"/>
    </row>
    <row r="466">
      <c r="A466" s="86"/>
      <c r="B466" s="86"/>
      <c r="C466" s="83" t="s">
        <v>177</v>
      </c>
      <c r="D466" s="87">
        <v>8.0</v>
      </c>
      <c r="E466" s="88" t="str">
        <f t="shared" si="21"/>
        <v>02</v>
      </c>
      <c r="F466" s="89"/>
      <c r="G466" s="90" t="s">
        <v>315</v>
      </c>
      <c r="H466" s="100" t="s">
        <v>315</v>
      </c>
      <c r="I466" s="92" t="s">
        <v>314</v>
      </c>
      <c r="J466" s="93" t="s">
        <v>65</v>
      </c>
      <c r="K466" s="83" t="s">
        <v>37</v>
      </c>
      <c r="L466" s="101" t="s">
        <v>577</v>
      </c>
    </row>
    <row r="467">
      <c r="A467" s="86"/>
      <c r="B467" s="86"/>
      <c r="C467" s="86"/>
      <c r="D467" s="137"/>
      <c r="E467" s="106" t="str">
        <f>HYPERLINK("https://docs.google.com/document/d/1uYDTzYjYlJZ6pl9PuzGz83l3-qwMA_ImwN7GQBB65rU/edit?usp=sharing","03")</f>
        <v>03</v>
      </c>
      <c r="F467" s="107"/>
      <c r="G467" s="108" t="s">
        <v>315</v>
      </c>
      <c r="H467" s="91" t="s">
        <v>315</v>
      </c>
      <c r="I467" s="105" t="s">
        <v>314</v>
      </c>
      <c r="J467" s="102"/>
      <c r="K467" s="86"/>
      <c r="L467" s="86"/>
    </row>
    <row r="468">
      <c r="A468" s="86"/>
      <c r="B468" s="86"/>
      <c r="C468" s="86"/>
      <c r="D468" s="137"/>
      <c r="E468" s="106" t="str">
        <f>HYPERLINK("https://docs.google.com/document/d/1ZJ3qAhwL0klYohEu-hYgPzKugVcNdpSpUx04UcSb_Wg/edit?usp=sharing","04")</f>
        <v>04</v>
      </c>
      <c r="F468" s="107"/>
      <c r="G468" s="108" t="s">
        <v>315</v>
      </c>
      <c r="H468" s="91" t="s">
        <v>315</v>
      </c>
      <c r="I468" s="105" t="s">
        <v>314</v>
      </c>
      <c r="J468" s="102"/>
      <c r="K468" s="86"/>
      <c r="L468" s="86"/>
    </row>
    <row r="469">
      <c r="A469" s="86"/>
      <c r="B469" s="86"/>
      <c r="C469" s="86"/>
      <c r="D469" s="137"/>
      <c r="E469" s="106" t="str">
        <f>HYPERLINK("https://docs.google.com/document/d/1-y991SCrGKevK6EujEEW9jzXSihGSDYV6pLW3OWWAxY/edit?usp=sharing","05")</f>
        <v>05</v>
      </c>
      <c r="F469" s="91" t="s">
        <v>574</v>
      </c>
      <c r="G469" s="108" t="s">
        <v>315</v>
      </c>
      <c r="H469" s="91" t="s">
        <v>314</v>
      </c>
      <c r="I469" s="105" t="s">
        <v>315</v>
      </c>
      <c r="J469" s="102"/>
      <c r="K469" s="86"/>
      <c r="L469" s="86"/>
    </row>
    <row r="470">
      <c r="A470" s="86"/>
      <c r="B470" s="86"/>
      <c r="C470" s="86"/>
      <c r="D470" s="137"/>
      <c r="E470" s="106" t="str">
        <f>HYPERLINK("https://docs.google.com/document/d/19-LFsMjChXsaAs0DBqvWMTBVfcKgWpgT1LNAZ77bdGU/edit?usp=sharing","06")</f>
        <v>06</v>
      </c>
      <c r="F470" s="91" t="s">
        <v>380</v>
      </c>
      <c r="G470" s="108" t="s">
        <v>334</v>
      </c>
      <c r="H470" s="91" t="s">
        <v>315</v>
      </c>
      <c r="I470" s="105" t="s">
        <v>314</v>
      </c>
      <c r="J470" s="102"/>
      <c r="K470" s="86"/>
      <c r="L470" s="86"/>
    </row>
    <row r="471">
      <c r="A471" s="86"/>
      <c r="B471" s="86"/>
      <c r="C471" s="86"/>
      <c r="D471" s="137"/>
      <c r="E471" s="106" t="str">
        <f>HYPERLINK("https://docs.google.com/document/d/1RRWtomJLqU7BDnYr11FDPwHPXDEBktkm_mZPGIlqN8c/edit?usp=sharing","07")</f>
        <v>07</v>
      </c>
      <c r="F471" s="107"/>
      <c r="G471" s="108" t="s">
        <v>315</v>
      </c>
      <c r="H471" s="91" t="s">
        <v>315</v>
      </c>
      <c r="I471" s="105" t="s">
        <v>314</v>
      </c>
      <c r="J471" s="102"/>
      <c r="K471" s="86"/>
      <c r="L471" s="86"/>
    </row>
    <row r="472">
      <c r="A472" s="86"/>
      <c r="B472" s="86"/>
      <c r="C472" s="86"/>
      <c r="D472" s="137"/>
      <c r="E472" s="106" t="str">
        <f>HYPERLINK("https://docs.google.com/document/d/1GeyMKIQoC9MMdBP0EqT91dQn8gTPkN0kofsMWmnPPBs/edit?usp=sharing","08")</f>
        <v>08</v>
      </c>
      <c r="F472" s="91" t="s">
        <v>9</v>
      </c>
      <c r="G472" s="108" t="s">
        <v>315</v>
      </c>
      <c r="H472" s="91" t="s">
        <v>314</v>
      </c>
      <c r="I472" s="105" t="s">
        <v>315</v>
      </c>
      <c r="J472" s="102"/>
      <c r="K472" s="86"/>
      <c r="L472" s="86"/>
    </row>
    <row r="473">
      <c r="A473" s="86"/>
      <c r="B473" s="86"/>
      <c r="C473" s="7"/>
      <c r="D473" s="95"/>
      <c r="E473" s="96" t="str">
        <f>HYPERLINK("https://docs.google.com/document/d/1qJYT9MoUFGIBc7PC50wEcfpTuos0GU6eG-fNIDkl-5Q/edit?usp=sharing","09")</f>
        <v>09</v>
      </c>
      <c r="F473" s="97"/>
      <c r="G473" s="98" t="s">
        <v>314</v>
      </c>
      <c r="H473" s="104" t="s">
        <v>315</v>
      </c>
      <c r="I473" s="36" t="s">
        <v>315</v>
      </c>
      <c r="J473" s="99"/>
      <c r="K473" s="7"/>
      <c r="L473" s="7"/>
    </row>
    <row r="474">
      <c r="A474" s="86"/>
      <c r="B474" s="86"/>
      <c r="C474" s="83" t="s">
        <v>203</v>
      </c>
      <c r="D474" s="87">
        <v>7.0</v>
      </c>
      <c r="E474" s="88" t="str">
        <f>HYPERLINK("https://docs.google.com/document/d/1xnYgwRICbL0hYH3tOL5ElzC2jEo_8yPjIqMTz65FBw8/edit?usp=sharing","02")</f>
        <v>02</v>
      </c>
      <c r="F474" s="89"/>
      <c r="G474" s="90" t="s">
        <v>315</v>
      </c>
      <c r="H474" s="100" t="s">
        <v>315</v>
      </c>
      <c r="I474" s="92" t="s">
        <v>314</v>
      </c>
      <c r="J474" s="93" t="s">
        <v>67</v>
      </c>
      <c r="K474" s="83" t="s">
        <v>24</v>
      </c>
      <c r="L474" s="101" t="s">
        <v>578</v>
      </c>
    </row>
    <row r="475">
      <c r="A475" s="86"/>
      <c r="B475" s="86"/>
      <c r="C475" s="86"/>
      <c r="D475" s="137"/>
      <c r="E475" s="106" t="str">
        <f>HYPERLINK("https://docs.google.com/document/d/1uYDTzYjYlJZ6pl9PuzGz83l3-qwMA_ImwN7GQBB65rU/edit?usp=sharing","03")</f>
        <v>03</v>
      </c>
      <c r="F475" s="107"/>
      <c r="G475" s="108" t="s">
        <v>315</v>
      </c>
      <c r="H475" s="91" t="s">
        <v>315</v>
      </c>
      <c r="I475" s="105" t="s">
        <v>314</v>
      </c>
      <c r="J475" s="102"/>
      <c r="K475" s="86"/>
      <c r="L475" s="86"/>
    </row>
    <row r="476">
      <c r="A476" s="86"/>
      <c r="B476" s="86"/>
      <c r="C476" s="86"/>
      <c r="D476" s="137"/>
      <c r="E476" s="106" t="str">
        <f>HYPERLINK("https://docs.google.com/document/d/1ZJ3qAhwL0klYohEu-hYgPzKugVcNdpSpUx04UcSb_Wg/edit?usp=sharing","04")</f>
        <v>04</v>
      </c>
      <c r="F476" s="107"/>
      <c r="G476" s="108" t="s">
        <v>315</v>
      </c>
      <c r="H476" s="91" t="s">
        <v>315</v>
      </c>
      <c r="I476" s="105" t="s">
        <v>314</v>
      </c>
      <c r="J476" s="102"/>
      <c r="K476" s="86"/>
      <c r="L476" s="86"/>
    </row>
    <row r="477">
      <c r="A477" s="86"/>
      <c r="B477" s="86"/>
      <c r="C477" s="86"/>
      <c r="D477" s="137"/>
      <c r="E477" s="106" t="str">
        <f>HYPERLINK("https://docs.google.com/document/d/1-y991SCrGKevK6EujEEW9jzXSihGSDYV6pLW3OWWAxY/edit?usp=sharing","05")</f>
        <v>05</v>
      </c>
      <c r="F477" s="91" t="s">
        <v>574</v>
      </c>
      <c r="G477" s="108" t="s">
        <v>315</v>
      </c>
      <c r="H477" s="91" t="s">
        <v>314</v>
      </c>
      <c r="I477" s="105" t="s">
        <v>315</v>
      </c>
      <c r="J477" s="102"/>
      <c r="K477" s="86"/>
      <c r="L477" s="86"/>
    </row>
    <row r="478">
      <c r="A478" s="86"/>
      <c r="B478" s="86"/>
      <c r="C478" s="86"/>
      <c r="D478" s="137"/>
      <c r="E478" s="106" t="str">
        <f>HYPERLINK("https://docs.google.com/document/d/1RRWtomJLqU7BDnYr11FDPwHPXDEBktkm_mZPGIlqN8c/edit?usp=sharing","07")</f>
        <v>07</v>
      </c>
      <c r="F478" s="107"/>
      <c r="G478" s="108" t="s">
        <v>315</v>
      </c>
      <c r="H478" s="91" t="s">
        <v>315</v>
      </c>
      <c r="I478" s="105" t="s">
        <v>314</v>
      </c>
      <c r="J478" s="102"/>
      <c r="K478" s="86"/>
      <c r="L478" s="86"/>
    </row>
    <row r="479">
      <c r="A479" s="86"/>
      <c r="B479" s="86"/>
      <c r="C479" s="86"/>
      <c r="D479" s="137"/>
      <c r="E479" s="106" t="str">
        <f>HYPERLINK("https://docs.google.com/document/d/1qJYT9MoUFGIBc7PC50wEcfpTuos0GU6eG-fNIDkl-5Q/edit?usp=sharing","09")</f>
        <v>09</v>
      </c>
      <c r="F479" s="107"/>
      <c r="G479" s="108" t="s">
        <v>315</v>
      </c>
      <c r="H479" s="91" t="s">
        <v>314</v>
      </c>
      <c r="I479" s="105" t="s">
        <v>315</v>
      </c>
      <c r="J479" s="102"/>
      <c r="K479" s="86"/>
      <c r="L479" s="86"/>
    </row>
    <row r="480">
      <c r="A480" s="86"/>
      <c r="B480" s="86"/>
      <c r="C480" s="7"/>
      <c r="D480" s="95"/>
      <c r="E480" s="96" t="str">
        <f>HYPERLINK("https://docs.google.com/document/d/1v1OGr-bH83jznZLRR-WHOTaGuF8wMBSX1_r19r_tuyg/edit?usp=sharing","14")</f>
        <v>14</v>
      </c>
      <c r="F480" s="104" t="s">
        <v>579</v>
      </c>
      <c r="G480" s="98" t="s">
        <v>334</v>
      </c>
      <c r="H480" s="104" t="s">
        <v>334</v>
      </c>
      <c r="I480" s="36" t="s">
        <v>334</v>
      </c>
      <c r="J480" s="99"/>
      <c r="K480" s="7"/>
      <c r="L480" s="7"/>
    </row>
    <row r="481">
      <c r="A481" s="86"/>
      <c r="B481" s="86"/>
      <c r="C481" s="83" t="s">
        <v>580</v>
      </c>
      <c r="D481" s="87">
        <v>3.0</v>
      </c>
      <c r="E481" s="88" t="str">
        <f>HYPERLINK("https://docs.google.com/document/d/1xnYgwRICbL0hYH3tOL5ElzC2jEo_8yPjIqMTz65FBw8/edit?usp=sharing","02")</f>
        <v>02</v>
      </c>
      <c r="F481" s="89"/>
      <c r="G481" s="90" t="s">
        <v>314</v>
      </c>
      <c r="H481" s="100" t="s">
        <v>314</v>
      </c>
      <c r="I481" s="92" t="s">
        <v>315</v>
      </c>
      <c r="J481" s="93" t="s">
        <v>55</v>
      </c>
      <c r="K481" s="83" t="s">
        <v>40</v>
      </c>
      <c r="L481" s="101" t="s">
        <v>340</v>
      </c>
    </row>
    <row r="482">
      <c r="A482" s="86"/>
      <c r="B482" s="86"/>
      <c r="C482" s="86"/>
      <c r="D482" s="137"/>
      <c r="E482" s="106" t="str">
        <f>HYPERLINK("https://docs.google.com/document/d/1RRWtomJLqU7BDnYr11FDPwHPXDEBktkm_mZPGIlqN8c/edit?usp=sharing","07")</f>
        <v>07</v>
      </c>
      <c r="F482" s="107"/>
      <c r="G482" s="108" t="s">
        <v>315</v>
      </c>
      <c r="H482" s="91" t="s">
        <v>315</v>
      </c>
      <c r="I482" s="105" t="s">
        <v>314</v>
      </c>
      <c r="J482" s="102"/>
      <c r="K482" s="86"/>
      <c r="L482" s="86"/>
    </row>
    <row r="483">
      <c r="A483" s="86"/>
      <c r="B483" s="86"/>
      <c r="C483" s="7"/>
      <c r="D483" s="95"/>
      <c r="E483" s="96" t="str">
        <f>HYPERLINK("https://docs.google.com/document/d/1GeyMKIQoC9MMdBP0EqT91dQn8gTPkN0kofsMWmnPPBs/edit?usp=sharing","08")</f>
        <v>08</v>
      </c>
      <c r="F483" s="104" t="s">
        <v>9</v>
      </c>
      <c r="G483" s="98" t="s">
        <v>315</v>
      </c>
      <c r="H483" s="104" t="s">
        <v>314</v>
      </c>
      <c r="I483" s="36" t="s">
        <v>315</v>
      </c>
      <c r="J483" s="99"/>
      <c r="K483" s="7"/>
      <c r="L483" s="7"/>
    </row>
    <row r="484">
      <c r="A484" s="86"/>
      <c r="B484" s="86"/>
      <c r="C484" s="83" t="s">
        <v>581</v>
      </c>
      <c r="D484" s="87">
        <v>4.0</v>
      </c>
      <c r="E484" s="88" t="str">
        <f>HYPERLINK("https://docs.google.com/document/d/19-LFsMjChXsaAs0DBqvWMTBVfcKgWpgT1LNAZ77bdGU/edit?usp=sharing","06")</f>
        <v>06</v>
      </c>
      <c r="F484" s="100" t="s">
        <v>380</v>
      </c>
      <c r="G484" s="90" t="s">
        <v>334</v>
      </c>
      <c r="H484" s="100" t="s">
        <v>315</v>
      </c>
      <c r="I484" s="92" t="s">
        <v>314</v>
      </c>
      <c r="J484" s="93" t="s">
        <v>53</v>
      </c>
      <c r="K484" s="83" t="s">
        <v>50</v>
      </c>
      <c r="L484" s="101" t="s">
        <v>340</v>
      </c>
    </row>
    <row r="485">
      <c r="A485" s="86"/>
      <c r="B485" s="86"/>
      <c r="C485" s="86"/>
      <c r="D485" s="137"/>
      <c r="E485" s="106" t="str">
        <f>HYPERLINK("https://docs.google.com/document/d/1RRWtomJLqU7BDnYr11FDPwHPXDEBktkm_mZPGIlqN8c/edit?usp=sharing","07")</f>
        <v>07</v>
      </c>
      <c r="F485" s="107"/>
      <c r="G485" s="108" t="s">
        <v>315</v>
      </c>
      <c r="H485" s="91" t="s">
        <v>315</v>
      </c>
      <c r="I485" s="105" t="s">
        <v>314</v>
      </c>
      <c r="J485" s="102"/>
      <c r="K485" s="86"/>
      <c r="L485" s="86"/>
    </row>
    <row r="486">
      <c r="A486" s="86"/>
      <c r="B486" s="86"/>
      <c r="C486" s="86"/>
      <c r="D486" s="137"/>
      <c r="E486" s="106" t="str">
        <f>HYPERLINK("https://docs.google.com/document/d/1fbN9zHDq-mqawO5ZEF388duhPnJaqP2xf3_am0wgSl8/edit?usp=sharing","10")</f>
        <v>10</v>
      </c>
      <c r="F486" s="91" t="s">
        <v>582</v>
      </c>
      <c r="G486" s="108" t="s">
        <v>314</v>
      </c>
      <c r="H486" s="91" t="s">
        <v>314</v>
      </c>
      <c r="I486" s="105" t="s">
        <v>315</v>
      </c>
      <c r="J486" s="102"/>
      <c r="K486" s="86"/>
      <c r="L486" s="86"/>
    </row>
    <row r="487">
      <c r="A487" s="86"/>
      <c r="B487" s="86"/>
      <c r="C487" s="7"/>
      <c r="D487" s="95"/>
      <c r="E487" s="96" t="str">
        <f>HYPERLINK("https://docs.google.com/document/d/1_CN0GKGPPkbPyTq8SudoJyNildJkYQu8LambkRuI1d4/edit?usp=sharing","12")</f>
        <v>12</v>
      </c>
      <c r="F487" s="104" t="s">
        <v>371</v>
      </c>
      <c r="G487" s="98" t="s">
        <v>314</v>
      </c>
      <c r="H487" s="104" t="s">
        <v>314</v>
      </c>
      <c r="I487" s="36" t="s">
        <v>315</v>
      </c>
      <c r="J487" s="99"/>
      <c r="K487" s="7"/>
      <c r="L487" s="7"/>
    </row>
    <row r="488">
      <c r="A488" s="86"/>
      <c r="B488" s="86"/>
      <c r="C488" s="83" t="s">
        <v>199</v>
      </c>
      <c r="D488" s="87">
        <v>3.0</v>
      </c>
      <c r="E488" s="88" t="str">
        <f>HYPERLINK("https://docs.google.com/document/d/1uYDTzYjYlJZ6pl9PuzGz83l3-qwMA_ImwN7GQBB65rU/edit?usp=sharing","03")</f>
        <v>03</v>
      </c>
      <c r="F488" s="89"/>
      <c r="G488" s="90" t="s">
        <v>315</v>
      </c>
      <c r="H488" s="100" t="s">
        <v>315</v>
      </c>
      <c r="I488" s="92" t="s">
        <v>314</v>
      </c>
      <c r="J488" s="93" t="s">
        <v>53</v>
      </c>
      <c r="K488" s="83" t="s">
        <v>50</v>
      </c>
      <c r="L488" s="101" t="s">
        <v>340</v>
      </c>
    </row>
    <row r="489">
      <c r="A489" s="86"/>
      <c r="B489" s="86"/>
      <c r="C489" s="86"/>
      <c r="D489" s="137"/>
      <c r="E489" s="106" t="str">
        <f>HYPERLINK("https://docs.google.com/document/d/1ZJ3qAhwL0klYohEu-hYgPzKugVcNdpSpUx04UcSb_Wg/edit?usp=sharing","04")</f>
        <v>04</v>
      </c>
      <c r="F489" s="107"/>
      <c r="G489" s="108" t="s">
        <v>315</v>
      </c>
      <c r="H489" s="91" t="s">
        <v>315</v>
      </c>
      <c r="I489" s="105" t="s">
        <v>314</v>
      </c>
      <c r="J489" s="102"/>
      <c r="K489" s="86"/>
      <c r="L489" s="86"/>
    </row>
    <row r="490">
      <c r="A490" s="86"/>
      <c r="B490" s="86"/>
      <c r="C490" s="7"/>
      <c r="D490" s="95"/>
      <c r="E490" s="96" t="str">
        <f>HYPERLINK("https://docs.google.com/document/d/19-LFsMjChXsaAs0DBqvWMTBVfcKgWpgT1LNAZ77bdGU/edit?usp=sharing","06")</f>
        <v>06</v>
      </c>
      <c r="F490" s="104" t="s">
        <v>380</v>
      </c>
      <c r="G490" s="98" t="s">
        <v>334</v>
      </c>
      <c r="H490" s="104" t="s">
        <v>314</v>
      </c>
      <c r="I490" s="36" t="s">
        <v>315</v>
      </c>
      <c r="J490" s="99"/>
      <c r="K490" s="7"/>
      <c r="L490" s="7"/>
    </row>
    <row r="491">
      <c r="A491" s="7"/>
      <c r="B491" s="7"/>
      <c r="C491" s="121" t="s">
        <v>224</v>
      </c>
      <c r="D491" s="134">
        <v>1.0</v>
      </c>
      <c r="E491" s="84" t="str">
        <f>HYPERLINK("https://docs.google.com/document/d/1-y991SCrGKevK6EujEEW9jzXSihGSDYV6pLW3OWWAxY/edit?usp=sharing","05")</f>
        <v>05</v>
      </c>
      <c r="F491" s="10" t="s">
        <v>574</v>
      </c>
      <c r="G491" s="103" t="s">
        <v>315</v>
      </c>
      <c r="H491" s="10" t="s">
        <v>314</v>
      </c>
      <c r="I491" s="43" t="s">
        <v>315</v>
      </c>
      <c r="J491" s="135" t="s">
        <v>36</v>
      </c>
      <c r="K491" s="121" t="s">
        <v>28</v>
      </c>
      <c r="L491" s="128"/>
    </row>
    <row r="492">
      <c r="A492" s="82" t="str">
        <f>HYPERLINK("https://docs.google.com/spreadsheets/d/1X-5lK1sJCBpvE08rC1VdSsGvayqyrC62cK7W45Q4XX8/edit?usp=sharing","27")</f>
        <v>27</v>
      </c>
      <c r="B492" s="83">
        <v>47.0</v>
      </c>
      <c r="C492" s="121" t="s">
        <v>583</v>
      </c>
      <c r="D492" s="121">
        <v>1.0</v>
      </c>
      <c r="E492" s="84" t="str">
        <f t="shared" ref="E492:E493" si="22">HYPERLINK("https://docs.google.com/document/d/1tTsttC5rboK7johMZEZiJJMVgKclq5Yg1ANB9Nae-g8/edit?usp=sharing","03")</f>
        <v>03</v>
      </c>
      <c r="F492" s="10" t="s">
        <v>507</v>
      </c>
      <c r="G492" s="103" t="s">
        <v>334</v>
      </c>
      <c r="H492" s="10" t="s">
        <v>334</v>
      </c>
      <c r="I492" s="43" t="s">
        <v>334</v>
      </c>
      <c r="J492" s="121" t="s">
        <v>124</v>
      </c>
      <c r="K492" s="121" t="s">
        <v>60</v>
      </c>
      <c r="L492" s="128"/>
    </row>
    <row r="493">
      <c r="A493" s="86"/>
      <c r="B493" s="86"/>
      <c r="C493" s="83" t="s">
        <v>584</v>
      </c>
      <c r="D493" s="83">
        <v>2.0</v>
      </c>
      <c r="E493" s="88" t="str">
        <f t="shared" si="22"/>
        <v>03</v>
      </c>
      <c r="F493" s="100" t="s">
        <v>523</v>
      </c>
      <c r="G493" s="90" t="s">
        <v>334</v>
      </c>
      <c r="H493" s="100" t="s">
        <v>334</v>
      </c>
      <c r="I493" s="92" t="s">
        <v>334</v>
      </c>
      <c r="J493" s="83" t="s">
        <v>96</v>
      </c>
      <c r="K493" s="83" t="s">
        <v>60</v>
      </c>
      <c r="L493" s="101" t="s">
        <v>340</v>
      </c>
    </row>
    <row r="494">
      <c r="A494" s="86"/>
      <c r="B494" s="86"/>
      <c r="C494" s="7"/>
      <c r="D494" s="7"/>
      <c r="E494" s="96" t="str">
        <f>HYPERLINK("https://docs.google.com/document/d/1YMHm3JqIcXA_ZW7fqxJJNTAHvPmYY9UFmw2EeciqyCU/edit?usp=sharing","04")</f>
        <v>04</v>
      </c>
      <c r="F494" s="104" t="s">
        <v>507</v>
      </c>
      <c r="G494" s="98" t="s">
        <v>334</v>
      </c>
      <c r="H494" s="104" t="s">
        <v>334</v>
      </c>
      <c r="I494" s="36" t="s">
        <v>334</v>
      </c>
      <c r="J494" s="7"/>
      <c r="K494" s="7"/>
      <c r="L494" s="7"/>
    </row>
    <row r="495">
      <c r="A495" s="86"/>
      <c r="B495" s="86"/>
      <c r="C495" s="83" t="s">
        <v>585</v>
      </c>
      <c r="D495" s="83">
        <v>2.0</v>
      </c>
      <c r="E495" s="88" t="str">
        <f>HYPERLINK("https://docs.google.com/document/d/1Iyiq3s9UgmZ6o5t98tQDbE5l9lRJMWgmdC69_NyVJ0Q/edit?usp=sharing","02")</f>
        <v>02</v>
      </c>
      <c r="F495" s="100" t="s">
        <v>523</v>
      </c>
      <c r="G495" s="90" t="s">
        <v>334</v>
      </c>
      <c r="H495" s="100" t="s">
        <v>334</v>
      </c>
      <c r="I495" s="92" t="s">
        <v>334</v>
      </c>
      <c r="J495" s="83" t="s">
        <v>103</v>
      </c>
      <c r="K495" s="83" t="s">
        <v>60</v>
      </c>
      <c r="L495" s="101" t="s">
        <v>340</v>
      </c>
    </row>
    <row r="496">
      <c r="A496" s="86"/>
      <c r="B496" s="86"/>
      <c r="C496" s="7"/>
      <c r="D496" s="7"/>
      <c r="E496" s="96" t="str">
        <f>HYPERLINK("https://docs.google.com/document/d/1tTsttC5rboK7johMZEZiJJMVgKclq5Yg1ANB9Nae-g8/edit?usp=sharing","03")</f>
        <v>03</v>
      </c>
      <c r="F496" s="104" t="s">
        <v>523</v>
      </c>
      <c r="G496" s="98" t="s">
        <v>334</v>
      </c>
      <c r="H496" s="104" t="s">
        <v>334</v>
      </c>
      <c r="I496" s="36" t="s">
        <v>334</v>
      </c>
      <c r="J496" s="7"/>
      <c r="K496" s="7"/>
      <c r="L496" s="7"/>
    </row>
    <row r="497">
      <c r="A497" s="86"/>
      <c r="B497" s="86"/>
      <c r="C497" s="121" t="s">
        <v>173</v>
      </c>
      <c r="D497" s="121">
        <v>1.0</v>
      </c>
      <c r="E497" s="84" t="str">
        <f>HYPERLINK("https://docs.google.com/document/d/1pSKVzl4ottHjO_ixsQXsm6UVpYMtP8P8fAgK0DNiQtc/edit?usp=sharing","06")</f>
        <v>06</v>
      </c>
      <c r="F497" s="10" t="s">
        <v>507</v>
      </c>
      <c r="G497" s="103" t="s">
        <v>334</v>
      </c>
      <c r="H497" s="10" t="s">
        <v>334</v>
      </c>
      <c r="I497" s="43" t="s">
        <v>334</v>
      </c>
      <c r="J497" s="121" t="s">
        <v>112</v>
      </c>
      <c r="K497" s="121" t="s">
        <v>60</v>
      </c>
      <c r="L497" s="128"/>
    </row>
    <row r="498">
      <c r="A498" s="86"/>
      <c r="B498" s="86"/>
      <c r="C498" s="83" t="s">
        <v>231</v>
      </c>
      <c r="D498" s="83">
        <v>2.0</v>
      </c>
      <c r="E498" s="88" t="str">
        <f>HYPERLINK("https://docs.google.com/document/d/1tTsttC5rboK7johMZEZiJJMVgKclq5Yg1ANB9Nae-g8/edit?usp=sharing","03")</f>
        <v>03</v>
      </c>
      <c r="F498" s="100" t="s">
        <v>586</v>
      </c>
      <c r="G498" s="90" t="s">
        <v>315</v>
      </c>
      <c r="H498" s="100" t="s">
        <v>315</v>
      </c>
      <c r="I498" s="92" t="s">
        <v>314</v>
      </c>
      <c r="J498" s="83" t="s">
        <v>111</v>
      </c>
      <c r="K498" s="83" t="s">
        <v>60</v>
      </c>
      <c r="L498" s="101" t="s">
        <v>340</v>
      </c>
    </row>
    <row r="499">
      <c r="A499" s="86"/>
      <c r="B499" s="86"/>
      <c r="C499" s="7"/>
      <c r="D499" s="7"/>
      <c r="E499" s="96" t="str">
        <f>HYPERLINK("https://docs.google.com/document/d/1YMHm3JqIcXA_ZW7fqxJJNTAHvPmYY9UFmw2EeciqyCU/edit?usp=sharing","04")</f>
        <v>04</v>
      </c>
      <c r="F499" s="104"/>
      <c r="G499" s="98" t="s">
        <v>315</v>
      </c>
      <c r="H499" s="104" t="s">
        <v>315</v>
      </c>
      <c r="I499" s="36" t="s">
        <v>314</v>
      </c>
      <c r="J499" s="7"/>
      <c r="K499" s="7"/>
      <c r="L499" s="7"/>
    </row>
    <row r="500">
      <c r="A500" s="86"/>
      <c r="B500" s="86"/>
      <c r="C500" s="83" t="s">
        <v>587</v>
      </c>
      <c r="D500" s="83">
        <v>2.0</v>
      </c>
      <c r="E500" s="88" t="str">
        <f>HYPERLINK("https://docs.google.com/document/d/1pSKVzl4ottHjO_ixsQXsm6UVpYMtP8P8fAgK0DNiQtc/edit?usp=sharing","06")</f>
        <v>06</v>
      </c>
      <c r="F500" s="100" t="s">
        <v>523</v>
      </c>
      <c r="G500" s="90" t="s">
        <v>334</v>
      </c>
      <c r="H500" s="100" t="s">
        <v>334</v>
      </c>
      <c r="I500" s="92" t="s">
        <v>334</v>
      </c>
      <c r="J500" s="83" t="s">
        <v>100</v>
      </c>
      <c r="K500" s="83" t="s">
        <v>60</v>
      </c>
      <c r="L500" s="101" t="s">
        <v>340</v>
      </c>
    </row>
    <row r="501">
      <c r="A501" s="86"/>
      <c r="B501" s="86"/>
      <c r="C501" s="7"/>
      <c r="D501" s="7"/>
      <c r="E501" s="96" t="str">
        <f>HYPERLINK("https://docs.google.com/document/d/1-NxpW6p_W9ZFNXkVf4-MYUwax1FS_4t_yYPLOPGH9ro/edit?usp=sharing","07")</f>
        <v>07</v>
      </c>
      <c r="F501" s="104" t="s">
        <v>523</v>
      </c>
      <c r="G501" s="98" t="s">
        <v>334</v>
      </c>
      <c r="H501" s="104" t="s">
        <v>334</v>
      </c>
      <c r="I501" s="36" t="s">
        <v>334</v>
      </c>
      <c r="J501" s="7"/>
      <c r="K501" s="7"/>
      <c r="L501" s="86"/>
    </row>
    <row r="502">
      <c r="A502" s="86"/>
      <c r="B502" s="86"/>
      <c r="C502" s="83" t="s">
        <v>588</v>
      </c>
      <c r="D502" s="83">
        <v>2.0</v>
      </c>
      <c r="E502" s="88" t="str">
        <f>HYPERLINK("https://docs.google.com/document/d/1tTsttC5rboK7johMZEZiJJMVgKclq5Yg1ANB9Nae-g8/edit?usp=sharing","03")</f>
        <v>03</v>
      </c>
      <c r="F502" s="100" t="s">
        <v>586</v>
      </c>
      <c r="G502" s="90" t="s">
        <v>315</v>
      </c>
      <c r="H502" s="100" t="s">
        <v>315</v>
      </c>
      <c r="I502" s="92" t="s">
        <v>314</v>
      </c>
      <c r="J502" s="83" t="s">
        <v>82</v>
      </c>
      <c r="K502" s="83" t="s">
        <v>60</v>
      </c>
      <c r="L502" s="101" t="s">
        <v>340</v>
      </c>
    </row>
    <row r="503">
      <c r="A503" s="86"/>
      <c r="B503" s="86"/>
      <c r="C503" s="7"/>
      <c r="D503" s="7"/>
      <c r="E503" s="96" t="str">
        <f>HYPERLINK("https://docs.google.com/document/d/1YMHm3JqIcXA_ZW7fqxJJNTAHvPmYY9UFmw2EeciqyCU/edit?usp=sharing","04")</f>
        <v>04</v>
      </c>
      <c r="F503" s="104"/>
      <c r="G503" s="98" t="s">
        <v>315</v>
      </c>
      <c r="H503" s="104" t="s">
        <v>315</v>
      </c>
      <c r="I503" s="36" t="s">
        <v>314</v>
      </c>
      <c r="J503" s="7"/>
      <c r="K503" s="86"/>
      <c r="L503" s="86"/>
    </row>
    <row r="504">
      <c r="A504" s="86"/>
      <c r="B504" s="86"/>
      <c r="C504" s="121" t="s">
        <v>166</v>
      </c>
      <c r="D504" s="121">
        <v>1.0</v>
      </c>
      <c r="E504" s="84" t="str">
        <f>HYPERLINK("https://docs.google.com/document/d/1ujJdBTg5o99kfYMWg9EtRURu5HxkRbOaKCQgQEXWyuA/edit?usp=sharing","10")</f>
        <v>10</v>
      </c>
      <c r="F504" s="10" t="s">
        <v>507</v>
      </c>
      <c r="G504" s="103" t="s">
        <v>334</v>
      </c>
      <c r="H504" s="10" t="s">
        <v>334</v>
      </c>
      <c r="I504" s="43" t="s">
        <v>334</v>
      </c>
      <c r="J504" s="121" t="s">
        <v>69</v>
      </c>
      <c r="K504" s="121" t="s">
        <v>84</v>
      </c>
      <c r="L504" s="122"/>
    </row>
    <row r="505">
      <c r="A505" s="86"/>
      <c r="B505" s="86"/>
      <c r="C505" s="83" t="s">
        <v>296</v>
      </c>
      <c r="D505" s="83">
        <v>3.0</v>
      </c>
      <c r="E505" s="88" t="str">
        <f>HYPERLINK("https://docs.google.com/document/d/1YMHm3JqIcXA_ZW7fqxJJNTAHvPmYY9UFmw2EeciqyCU/edit?usp=sharing","04")</f>
        <v>04</v>
      </c>
      <c r="F505" s="89"/>
      <c r="G505" s="90" t="s">
        <v>314</v>
      </c>
      <c r="H505" s="100" t="s">
        <v>314</v>
      </c>
      <c r="I505" s="92" t="s">
        <v>315</v>
      </c>
      <c r="J505" s="83" t="s">
        <v>86</v>
      </c>
      <c r="K505" s="83" t="s">
        <v>48</v>
      </c>
      <c r="L505" s="101" t="s">
        <v>340</v>
      </c>
    </row>
    <row r="506">
      <c r="A506" s="86"/>
      <c r="B506" s="86"/>
      <c r="C506" s="86"/>
      <c r="D506" s="86"/>
      <c r="E506" s="106" t="str">
        <f>HYPERLINK("https://docs.google.com/document/d/1ujJdBTg5o99kfYMWg9EtRURu5HxkRbOaKCQgQEXWyuA/edit?usp=sharing","10")</f>
        <v>10</v>
      </c>
      <c r="F506" s="91" t="s">
        <v>523</v>
      </c>
      <c r="G506" s="108" t="s">
        <v>334</v>
      </c>
      <c r="H506" s="91" t="s">
        <v>334</v>
      </c>
      <c r="I506" s="105" t="s">
        <v>334</v>
      </c>
      <c r="J506" s="86"/>
      <c r="K506" s="86"/>
      <c r="L506" s="86"/>
    </row>
    <row r="507">
      <c r="A507" s="86"/>
      <c r="B507" s="86"/>
      <c r="C507" s="7"/>
      <c r="D507" s="7"/>
      <c r="E507" s="96" t="str">
        <f>HYPERLINK("https://docs.google.com/document/d/1UAijUnQ1c-BXnc5mKSdI0XIB8P8zuQLaKaTb1x2_Rfc/edit?usp=sharing","11")</f>
        <v>11</v>
      </c>
      <c r="F507" s="104" t="s">
        <v>507</v>
      </c>
      <c r="G507" s="98" t="s">
        <v>334</v>
      </c>
      <c r="H507" s="104" t="s">
        <v>334</v>
      </c>
      <c r="I507" s="36" t="s">
        <v>334</v>
      </c>
      <c r="J507" s="7"/>
      <c r="K507" s="86"/>
      <c r="L507" s="86"/>
    </row>
    <row r="508">
      <c r="A508" s="86"/>
      <c r="B508" s="86"/>
      <c r="C508" s="83" t="s">
        <v>589</v>
      </c>
      <c r="D508" s="83">
        <v>5.0</v>
      </c>
      <c r="E508" s="88" t="str">
        <f>HYPERLINK("https://docs.google.com/document/d/1Iyiq3s9UgmZ6o5t98tQDbE5l9lRJMWgmdC69_NyVJ0Q/edit?usp=sharing","02")</f>
        <v>02</v>
      </c>
      <c r="F508" s="89"/>
      <c r="G508" s="90" t="s">
        <v>314</v>
      </c>
      <c r="H508" s="100" t="s">
        <v>314</v>
      </c>
      <c r="I508" s="92" t="s">
        <v>315</v>
      </c>
      <c r="J508" s="83" t="s">
        <v>63</v>
      </c>
      <c r="K508" s="83" t="s">
        <v>43</v>
      </c>
      <c r="L508" s="101" t="s">
        <v>552</v>
      </c>
    </row>
    <row r="509">
      <c r="A509" s="86"/>
      <c r="B509" s="86"/>
      <c r="C509" s="86"/>
      <c r="D509" s="86"/>
      <c r="E509" s="106" t="str">
        <f>HYPERLINK("https://docs.google.com/document/d/1tTsttC5rboK7johMZEZiJJMVgKclq5Yg1ANB9Nae-g8/edit?usp=sharing","03")</f>
        <v>03</v>
      </c>
      <c r="F509" s="91" t="s">
        <v>586</v>
      </c>
      <c r="G509" s="108" t="s">
        <v>314</v>
      </c>
      <c r="H509" s="91" t="s">
        <v>314</v>
      </c>
      <c r="I509" s="105" t="s">
        <v>315</v>
      </c>
      <c r="J509" s="86"/>
      <c r="K509" s="86"/>
      <c r="L509" s="86"/>
    </row>
    <row r="510">
      <c r="A510" s="86"/>
      <c r="B510" s="86"/>
      <c r="C510" s="86"/>
      <c r="D510" s="86"/>
      <c r="E510" s="106" t="str">
        <f>HYPERLINK("https://docs.google.com/document/d/1-NxpW6p_W9ZFNXkVf4-MYUwax1FS_4t_yYPLOPGH9ro/edit?usp=sharing","07")</f>
        <v>07</v>
      </c>
      <c r="F510" s="91"/>
      <c r="G510" s="108" t="s">
        <v>315</v>
      </c>
      <c r="H510" s="91" t="s">
        <v>315</v>
      </c>
      <c r="I510" s="105" t="s">
        <v>314</v>
      </c>
      <c r="J510" s="86"/>
      <c r="K510" s="86"/>
      <c r="L510" s="86"/>
    </row>
    <row r="511">
      <c r="A511" s="86"/>
      <c r="B511" s="86"/>
      <c r="C511" s="86"/>
      <c r="D511" s="86"/>
      <c r="E511" s="106" t="str">
        <f>HYPERLINK("https://docs.google.com/document/d/1BQRq1-8D3EE-3qko5ylxSEhOVoLQY35axB3p9JulN90/edit?usp=sharing","08")</f>
        <v>08</v>
      </c>
      <c r="F511" s="91" t="s">
        <v>9</v>
      </c>
      <c r="G511" s="108" t="s">
        <v>315</v>
      </c>
      <c r="H511" s="91" t="s">
        <v>314</v>
      </c>
      <c r="I511" s="105" t="s">
        <v>315</v>
      </c>
      <c r="J511" s="86"/>
      <c r="K511" s="86"/>
      <c r="L511" s="86"/>
    </row>
    <row r="512">
      <c r="A512" s="86"/>
      <c r="B512" s="86"/>
      <c r="C512" s="7"/>
      <c r="D512" s="7"/>
      <c r="E512" s="96" t="str">
        <f>HYPERLINK("https://docs.google.com/document/d/1uxVSEhGiRnp26fJxhde_2a5IFaS7Pf269PVvH3j1lW4/edit?usp=sharing","12")</f>
        <v>12</v>
      </c>
      <c r="F512" s="104" t="s">
        <v>507</v>
      </c>
      <c r="G512" s="98" t="s">
        <v>334</v>
      </c>
      <c r="H512" s="104" t="s">
        <v>334</v>
      </c>
      <c r="I512" s="36" t="s">
        <v>334</v>
      </c>
      <c r="J512" s="7"/>
      <c r="K512" s="86"/>
      <c r="L512" s="86"/>
    </row>
    <row r="513">
      <c r="A513" s="86"/>
      <c r="B513" s="86"/>
      <c r="C513" s="83" t="s">
        <v>590</v>
      </c>
      <c r="D513" s="83">
        <v>4.0</v>
      </c>
      <c r="E513" s="88" t="str">
        <f>HYPERLINK("https://docs.google.com/document/d/1tTsttC5rboK7johMZEZiJJMVgKclq5Yg1ANB9Nae-g8/edit?usp=sharing","03")</f>
        <v>03</v>
      </c>
      <c r="F513" s="100" t="s">
        <v>586</v>
      </c>
      <c r="G513" s="90" t="s">
        <v>314</v>
      </c>
      <c r="H513" s="100" t="s">
        <v>314</v>
      </c>
      <c r="I513" s="92" t="s">
        <v>315</v>
      </c>
      <c r="J513" s="83" t="s">
        <v>71</v>
      </c>
      <c r="K513" s="83" t="s">
        <v>58</v>
      </c>
      <c r="L513" s="101" t="s">
        <v>591</v>
      </c>
    </row>
    <row r="514">
      <c r="A514" s="86"/>
      <c r="B514" s="86"/>
      <c r="C514" s="86"/>
      <c r="D514" s="86"/>
      <c r="E514" s="106" t="str">
        <f>HYPERLINK("https://docs.google.com/document/d/1YMHm3JqIcXA_ZW7fqxJJNTAHvPmYY9UFmw2EeciqyCU/edit?usp=sharing","04")</f>
        <v>04</v>
      </c>
      <c r="F514" s="91"/>
      <c r="G514" s="108" t="s">
        <v>314</v>
      </c>
      <c r="H514" s="91" t="s">
        <v>314</v>
      </c>
      <c r="I514" s="105" t="s">
        <v>315</v>
      </c>
      <c r="J514" s="86"/>
      <c r="K514" s="86"/>
      <c r="L514" s="86"/>
    </row>
    <row r="515">
      <c r="A515" s="86"/>
      <c r="B515" s="86"/>
      <c r="C515" s="86"/>
      <c r="D515" s="86"/>
      <c r="E515" s="106" t="str">
        <f>HYPERLINK("https://docs.google.com/document/d/1pSKVzl4ottHjO_ixsQXsm6UVpYMtP8P8fAgK0DNiQtc/edit?usp=sharing","06")</f>
        <v>06</v>
      </c>
      <c r="F515" s="91" t="s">
        <v>380</v>
      </c>
      <c r="G515" s="108" t="s">
        <v>314</v>
      </c>
      <c r="H515" s="91" t="s">
        <v>314</v>
      </c>
      <c r="I515" s="105" t="s">
        <v>315</v>
      </c>
      <c r="J515" s="86"/>
      <c r="K515" s="86"/>
      <c r="L515" s="86"/>
    </row>
    <row r="516">
      <c r="A516" s="86"/>
      <c r="B516" s="86"/>
      <c r="C516" s="7"/>
      <c r="D516" s="7"/>
      <c r="E516" s="96" t="str">
        <f>HYPERLINK("https://docs.google.com/document/d/1BQRq1-8D3EE-3qko5ylxSEhOVoLQY35axB3p9JulN90/edit?usp=sharing","08")</f>
        <v>08</v>
      </c>
      <c r="F516" s="104" t="s">
        <v>9</v>
      </c>
      <c r="G516" s="98" t="s">
        <v>315</v>
      </c>
      <c r="H516" s="104" t="s">
        <v>314</v>
      </c>
      <c r="I516" s="36" t="s">
        <v>315</v>
      </c>
      <c r="J516" s="7"/>
      <c r="K516" s="7"/>
      <c r="L516" s="86"/>
    </row>
    <row r="517">
      <c r="A517" s="86"/>
      <c r="B517" s="86"/>
      <c r="C517" s="83" t="s">
        <v>243</v>
      </c>
      <c r="D517" s="83">
        <v>6.0</v>
      </c>
      <c r="E517" s="88" t="str">
        <f>HYPERLINK("https://docs.google.com/document/d/1Iyiq3s9UgmZ6o5t98tQDbE5l9lRJMWgmdC69_NyVJ0Q/edit?usp=sharing","02")</f>
        <v>02</v>
      </c>
      <c r="F517" s="89"/>
      <c r="G517" s="90" t="s">
        <v>315</v>
      </c>
      <c r="H517" s="100" t="s">
        <v>315</v>
      </c>
      <c r="I517" s="92" t="s">
        <v>314</v>
      </c>
      <c r="J517" s="83" t="s">
        <v>65</v>
      </c>
      <c r="K517" s="83" t="s">
        <v>37</v>
      </c>
      <c r="L517" s="101" t="s">
        <v>592</v>
      </c>
    </row>
    <row r="518">
      <c r="A518" s="86"/>
      <c r="B518" s="86"/>
      <c r="C518" s="86"/>
      <c r="D518" s="86"/>
      <c r="E518" s="106" t="str">
        <f>HYPERLINK("https://docs.google.com/document/d/1tTsttC5rboK7johMZEZiJJMVgKclq5Yg1ANB9Nae-g8/edit?usp=sharing","03")</f>
        <v>03</v>
      </c>
      <c r="F518" s="91" t="s">
        <v>586</v>
      </c>
      <c r="G518" s="108" t="s">
        <v>315</v>
      </c>
      <c r="H518" s="91" t="s">
        <v>315</v>
      </c>
      <c r="I518" s="105" t="s">
        <v>314</v>
      </c>
      <c r="J518" s="86"/>
      <c r="K518" s="86"/>
      <c r="L518" s="86"/>
    </row>
    <row r="519">
      <c r="A519" s="86"/>
      <c r="B519" s="86"/>
      <c r="C519" s="86"/>
      <c r="D519" s="86"/>
      <c r="E519" s="106" t="str">
        <f>HYPERLINK("https://docs.google.com/document/d/1pSKVzl4ottHjO_ixsQXsm6UVpYMtP8P8fAgK0DNiQtc/edit?usp=sharing","06")</f>
        <v>06</v>
      </c>
      <c r="F519" s="91" t="s">
        <v>523</v>
      </c>
      <c r="G519" s="108" t="s">
        <v>334</v>
      </c>
      <c r="H519" s="91" t="s">
        <v>334</v>
      </c>
      <c r="I519" s="105" t="s">
        <v>334</v>
      </c>
      <c r="J519" s="86"/>
      <c r="K519" s="86"/>
      <c r="L519" s="86"/>
    </row>
    <row r="520">
      <c r="A520" s="86"/>
      <c r="B520" s="86"/>
      <c r="C520" s="86"/>
      <c r="D520" s="86"/>
      <c r="E520" s="106" t="str">
        <f>HYPERLINK("https://docs.google.com/document/d/1-NxpW6p_W9ZFNXkVf4-MYUwax1FS_4t_yYPLOPGH9ro/edit?usp=sharing","07")</f>
        <v>07</v>
      </c>
      <c r="F520" s="91" t="s">
        <v>523</v>
      </c>
      <c r="G520" s="108" t="s">
        <v>334</v>
      </c>
      <c r="H520" s="91" t="s">
        <v>334</v>
      </c>
      <c r="I520" s="105" t="s">
        <v>334</v>
      </c>
      <c r="J520" s="86"/>
      <c r="K520" s="86"/>
      <c r="L520" s="86"/>
    </row>
    <row r="521">
      <c r="A521" s="86"/>
      <c r="B521" s="86"/>
      <c r="C521" s="86"/>
      <c r="D521" s="86"/>
      <c r="E521" s="106" t="str">
        <f>HYPERLINK("https://docs.google.com/document/d/1uxVSEhGiRnp26fJxhde_2a5IFaS7Pf269PVvH3j1lW4/edit?usp=sharing","12")</f>
        <v>12</v>
      </c>
      <c r="F521" s="91" t="s">
        <v>523</v>
      </c>
      <c r="G521" s="108" t="s">
        <v>334</v>
      </c>
      <c r="H521" s="91" t="s">
        <v>334</v>
      </c>
      <c r="I521" s="105" t="s">
        <v>334</v>
      </c>
      <c r="J521" s="86"/>
      <c r="K521" s="86"/>
      <c r="L521" s="86"/>
    </row>
    <row r="522">
      <c r="A522" s="86"/>
      <c r="B522" s="86"/>
      <c r="C522" s="7"/>
      <c r="D522" s="7"/>
      <c r="E522" s="96" t="str">
        <f>HYPERLINK("https://docs.google.com/document/d/17HfrnTsY_f5Otlk38dV0qWNbdB5ihBYLUxfO0EPsuO4/edit?usp=sharing","13")</f>
        <v>13</v>
      </c>
      <c r="F522" s="104" t="s">
        <v>523</v>
      </c>
      <c r="G522" s="98" t="s">
        <v>334</v>
      </c>
      <c r="H522" s="104" t="s">
        <v>334</v>
      </c>
      <c r="I522" s="36" t="s">
        <v>334</v>
      </c>
      <c r="J522" s="7"/>
      <c r="K522" s="7"/>
      <c r="L522" s="86"/>
    </row>
    <row r="523">
      <c r="A523" s="86"/>
      <c r="B523" s="86"/>
      <c r="C523" s="83" t="s">
        <v>182</v>
      </c>
      <c r="D523" s="83">
        <v>2.0</v>
      </c>
      <c r="E523" s="88" t="str">
        <f>HYPERLINK("https://docs.google.com/document/d/1pSKVzl4ottHjO_ixsQXsm6UVpYMtP8P8fAgK0DNiQtc/edit?usp=sharing","06")</f>
        <v>06</v>
      </c>
      <c r="F523" s="100" t="s">
        <v>380</v>
      </c>
      <c r="G523" s="90" t="s">
        <v>315</v>
      </c>
      <c r="H523" s="100" t="s">
        <v>315</v>
      </c>
      <c r="I523" s="92" t="s">
        <v>314</v>
      </c>
      <c r="J523" s="83" t="s">
        <v>67</v>
      </c>
      <c r="K523" s="83" t="s">
        <v>24</v>
      </c>
      <c r="L523" s="122"/>
    </row>
    <row r="524">
      <c r="A524" s="86"/>
      <c r="B524" s="86"/>
      <c r="C524" s="7"/>
      <c r="D524" s="7"/>
      <c r="E524" s="96" t="str">
        <f>HYPERLINK("https://docs.google.com/document/d/1EDkvjsU8uQE40EPQ_zMRn6qCt0Eue0A4ialoQyTeKoc/edit?usp=sharing","09")</f>
        <v>09</v>
      </c>
      <c r="F524" s="104" t="s">
        <v>593</v>
      </c>
      <c r="G524" s="98" t="s">
        <v>334</v>
      </c>
      <c r="H524" s="104" t="s">
        <v>314</v>
      </c>
      <c r="I524" s="36" t="s">
        <v>315</v>
      </c>
      <c r="J524" s="7"/>
      <c r="K524" s="86"/>
      <c r="L524" s="86"/>
    </row>
    <row r="525">
      <c r="A525" s="86"/>
      <c r="B525" s="86"/>
      <c r="C525" s="83" t="s">
        <v>288</v>
      </c>
      <c r="D525" s="83">
        <v>5.0</v>
      </c>
      <c r="E525" s="88" t="str">
        <f>HYPERLINK("https://docs.google.com/document/d/1tTsttC5rboK7johMZEZiJJMVgKclq5Yg1ANB9Nae-g8/edit?usp=sharing","03")</f>
        <v>03</v>
      </c>
      <c r="F525" s="100" t="s">
        <v>586</v>
      </c>
      <c r="G525" s="90" t="s">
        <v>315</v>
      </c>
      <c r="H525" s="100" t="s">
        <v>315</v>
      </c>
      <c r="I525" s="92" t="s">
        <v>314</v>
      </c>
      <c r="J525" s="83" t="s">
        <v>55</v>
      </c>
      <c r="K525" s="83" t="s">
        <v>40</v>
      </c>
      <c r="L525" s="101" t="s">
        <v>340</v>
      </c>
    </row>
    <row r="526">
      <c r="A526" s="86"/>
      <c r="B526" s="86"/>
      <c r="C526" s="86"/>
      <c r="D526" s="86"/>
      <c r="E526" s="106" t="str">
        <f>HYPERLINK("https://docs.google.com/document/d/1YMHm3JqIcXA_ZW7fqxJJNTAHvPmYY9UFmw2EeciqyCU/edit?usp=sharing","04")</f>
        <v>04</v>
      </c>
      <c r="F526" s="91"/>
      <c r="G526" s="108" t="s">
        <v>315</v>
      </c>
      <c r="H526" s="91" t="s">
        <v>315</v>
      </c>
      <c r="I526" s="105" t="s">
        <v>314</v>
      </c>
      <c r="J526" s="86"/>
      <c r="K526" s="86"/>
      <c r="L526" s="86"/>
    </row>
    <row r="527">
      <c r="A527" s="86"/>
      <c r="B527" s="86"/>
      <c r="C527" s="86"/>
      <c r="D527" s="86"/>
      <c r="E527" s="106" t="str">
        <f>HYPERLINK("https://docs.google.com/document/d/1BQRq1-8D3EE-3qko5ylxSEhOVoLQY35axB3p9JulN90/edit?usp=sharing","08")</f>
        <v>08</v>
      </c>
      <c r="F527" s="91" t="s">
        <v>9</v>
      </c>
      <c r="G527" s="108" t="s">
        <v>315</v>
      </c>
      <c r="H527" s="91" t="s">
        <v>314</v>
      </c>
      <c r="I527" s="105" t="s">
        <v>315</v>
      </c>
      <c r="J527" s="86"/>
      <c r="K527" s="86"/>
      <c r="L527" s="86"/>
    </row>
    <row r="528">
      <c r="A528" s="86"/>
      <c r="B528" s="86"/>
      <c r="C528" s="86"/>
      <c r="D528" s="86"/>
      <c r="E528" s="106" t="str">
        <f>HYPERLINK("https://docs.google.com/document/d/1ujJdBTg5o99kfYMWg9EtRURu5HxkRbOaKCQgQEXWyuA/edit?usp=sharing","10")</f>
        <v>10</v>
      </c>
      <c r="F528" s="91" t="s">
        <v>523</v>
      </c>
      <c r="G528" s="108" t="s">
        <v>334</v>
      </c>
      <c r="H528" s="91" t="s">
        <v>334</v>
      </c>
      <c r="I528" s="105" t="s">
        <v>334</v>
      </c>
      <c r="J528" s="86"/>
      <c r="K528" s="86"/>
      <c r="L528" s="86"/>
    </row>
    <row r="529">
      <c r="A529" s="86"/>
      <c r="B529" s="86"/>
      <c r="C529" s="7"/>
      <c r="D529" s="7"/>
      <c r="E529" s="96" t="str">
        <f>HYPERLINK("https://docs.google.com/document/d/1uxVSEhGiRnp26fJxhde_2a5IFaS7Pf269PVvH3j1lW4/edit?usp=sharing","12")</f>
        <v>12</v>
      </c>
      <c r="F529" s="104" t="s">
        <v>523</v>
      </c>
      <c r="G529" s="98" t="s">
        <v>334</v>
      </c>
      <c r="H529" s="104" t="s">
        <v>334</v>
      </c>
      <c r="I529" s="36" t="s">
        <v>334</v>
      </c>
      <c r="J529" s="7"/>
      <c r="K529" s="86"/>
      <c r="L529" s="86"/>
    </row>
    <row r="530">
      <c r="A530" s="86"/>
      <c r="B530" s="86"/>
      <c r="C530" s="83" t="s">
        <v>207</v>
      </c>
      <c r="D530" s="83">
        <v>5.0</v>
      </c>
      <c r="E530" s="88" t="str">
        <f>HYPERLINK("https://docs.google.com/document/d/1Iyiq3s9UgmZ6o5t98tQDbE5l9lRJMWgmdC69_NyVJ0Q/edit?usp=sharing","02")</f>
        <v>02</v>
      </c>
      <c r="F530" s="89"/>
      <c r="G530" s="90" t="s">
        <v>315</v>
      </c>
      <c r="H530" s="100" t="s">
        <v>315</v>
      </c>
      <c r="I530" s="92" t="s">
        <v>314</v>
      </c>
      <c r="J530" s="83" t="s">
        <v>62</v>
      </c>
      <c r="K530" s="83" t="s">
        <v>33</v>
      </c>
      <c r="L530" s="101" t="s">
        <v>340</v>
      </c>
    </row>
    <row r="531">
      <c r="A531" s="86"/>
      <c r="B531" s="86"/>
      <c r="C531" s="86"/>
      <c r="D531" s="86"/>
      <c r="E531" s="106" t="str">
        <f>HYPERLINK("https://docs.google.com/document/d/1tTsttC5rboK7johMZEZiJJMVgKclq5Yg1ANB9Nae-g8/edit?usp=sharing","03")</f>
        <v>03</v>
      </c>
      <c r="F531" s="91" t="s">
        <v>586</v>
      </c>
      <c r="G531" s="108" t="s">
        <v>315</v>
      </c>
      <c r="H531" s="91" t="s">
        <v>315</v>
      </c>
      <c r="I531" s="105" t="s">
        <v>314</v>
      </c>
      <c r="J531" s="86"/>
      <c r="K531" s="86"/>
      <c r="L531" s="86"/>
    </row>
    <row r="532">
      <c r="A532" s="86"/>
      <c r="B532" s="86"/>
      <c r="C532" s="86"/>
      <c r="D532" s="86"/>
      <c r="E532" s="106" t="str">
        <f>HYPERLINK("https://docs.google.com/document/d/1nGyDo8tddTGE2NzTnHQoTWdgLPHyGOe9VmUhmLKZKiM/edit?usp=sharing","05")</f>
        <v>05</v>
      </c>
      <c r="F532" s="91"/>
      <c r="G532" s="108" t="s">
        <v>314</v>
      </c>
      <c r="H532" s="91" t="s">
        <v>314</v>
      </c>
      <c r="I532" s="105" t="s">
        <v>315</v>
      </c>
      <c r="J532" s="86"/>
      <c r="K532" s="86"/>
      <c r="L532" s="86"/>
    </row>
    <row r="533">
      <c r="A533" s="86"/>
      <c r="B533" s="86"/>
      <c r="C533" s="86"/>
      <c r="D533" s="86"/>
      <c r="E533" s="106" t="str">
        <f>HYPERLINK("https://docs.google.com/document/d/1-NxpW6p_W9ZFNXkVf4-MYUwax1FS_4t_yYPLOPGH9ro/edit?usp=sharing","07")</f>
        <v>07</v>
      </c>
      <c r="F533" s="91"/>
      <c r="G533" s="108" t="s">
        <v>315</v>
      </c>
      <c r="H533" s="91" t="s">
        <v>315</v>
      </c>
      <c r="I533" s="105" t="s">
        <v>314</v>
      </c>
      <c r="J533" s="86"/>
      <c r="K533" s="86"/>
      <c r="L533" s="86"/>
    </row>
    <row r="534">
      <c r="A534" s="86"/>
      <c r="B534" s="86"/>
      <c r="C534" s="7"/>
      <c r="D534" s="7"/>
      <c r="E534" s="96" t="str">
        <f>HYPERLINK("https://docs.google.com/document/d/1ujJdBTg5o99kfYMWg9EtRURu5HxkRbOaKCQgQEXWyuA/edit?usp=sharing","10")</f>
        <v>10</v>
      </c>
      <c r="F534" s="104"/>
      <c r="G534" s="98" t="s">
        <v>315</v>
      </c>
      <c r="H534" s="104" t="s">
        <v>314</v>
      </c>
      <c r="I534" s="36" t="s">
        <v>315</v>
      </c>
      <c r="J534" s="7"/>
      <c r="K534" s="86"/>
      <c r="L534" s="86"/>
    </row>
    <row r="535">
      <c r="A535" s="86"/>
      <c r="B535" s="86"/>
      <c r="C535" s="83" t="s">
        <v>253</v>
      </c>
      <c r="D535" s="83">
        <v>4.0</v>
      </c>
      <c r="E535" s="106" t="str">
        <f>HYPERLINK("https://docs.google.com/document/d/1tTsttC5rboK7johMZEZiJJMVgKclq5Yg1ANB9Nae-g8/edit?usp=sharing","03")</f>
        <v>03</v>
      </c>
      <c r="F535" s="91" t="s">
        <v>586</v>
      </c>
      <c r="G535" s="108" t="s">
        <v>315</v>
      </c>
      <c r="H535" s="91" t="s">
        <v>315</v>
      </c>
      <c r="I535" s="105" t="s">
        <v>314</v>
      </c>
      <c r="J535" s="83" t="s">
        <v>39</v>
      </c>
      <c r="K535" s="83" t="s">
        <v>31</v>
      </c>
      <c r="L535" s="101" t="s">
        <v>364</v>
      </c>
    </row>
    <row r="536">
      <c r="A536" s="86"/>
      <c r="B536" s="86"/>
      <c r="C536" s="86"/>
      <c r="D536" s="86"/>
      <c r="E536" s="106" t="str">
        <f>HYPERLINK("https://docs.google.com/document/d/1ujJdBTg5o99kfYMWg9EtRURu5HxkRbOaKCQgQEXWyuA/edit?usp=sharing","10")</f>
        <v>10</v>
      </c>
      <c r="F536" s="91"/>
      <c r="G536" s="108" t="s">
        <v>314</v>
      </c>
      <c r="H536" s="91" t="s">
        <v>315</v>
      </c>
      <c r="I536" s="105" t="s">
        <v>315</v>
      </c>
      <c r="J536" s="86"/>
      <c r="K536" s="86"/>
      <c r="L536" s="86"/>
    </row>
    <row r="537">
      <c r="A537" s="86"/>
      <c r="B537" s="86"/>
      <c r="C537" s="86"/>
      <c r="D537" s="86"/>
      <c r="E537" s="106" t="str">
        <f>HYPERLINK("https://docs.google.com/document/d/1UAijUnQ1c-BXnc5mKSdI0XIB8P8zuQLaKaTb1x2_Rfc/edit?usp=sharing","11")</f>
        <v>11</v>
      </c>
      <c r="F537" s="91"/>
      <c r="G537" s="108" t="s">
        <v>314</v>
      </c>
      <c r="H537" s="91" t="s">
        <v>315</v>
      </c>
      <c r="I537" s="105" t="s">
        <v>315</v>
      </c>
      <c r="J537" s="86"/>
      <c r="K537" s="86"/>
      <c r="L537" s="86"/>
    </row>
    <row r="538">
      <c r="A538" s="7"/>
      <c r="B538" s="7"/>
      <c r="C538" s="7"/>
      <c r="D538" s="86"/>
      <c r="E538" s="106" t="str">
        <f>HYPERLINK("https://docs.google.com/document/d/1uxVSEhGiRnp26fJxhde_2a5IFaS7Pf269PVvH3j1lW4/edit?usp=sharing","12")</f>
        <v>12</v>
      </c>
      <c r="F538" s="91" t="s">
        <v>594</v>
      </c>
      <c r="G538" s="108" t="s">
        <v>315</v>
      </c>
      <c r="H538" s="91" t="s">
        <v>314</v>
      </c>
      <c r="I538" s="105" t="s">
        <v>315</v>
      </c>
      <c r="J538" s="86"/>
      <c r="K538" s="86"/>
      <c r="L538" s="86"/>
    </row>
    <row r="539">
      <c r="A539" s="82" t="str">
        <f>HYPERLINK("https://docs.google.com/spreadsheets/d/1y7awzkkkaNlh7XKjc44AGriTvqB9H3pVz8cFLyIYdbo/edit?usp=sharing","28")</f>
        <v>28</v>
      </c>
      <c r="B539" s="83">
        <v>19.0</v>
      </c>
      <c r="C539" s="121" t="s">
        <v>595</v>
      </c>
      <c r="D539" s="83">
        <v>1.0</v>
      </c>
      <c r="E539" s="88" t="str">
        <f t="shared" ref="E539:E540" si="23">HYPERLINK("https://docs.google.com/document/d/1H4HVZHuUJTW_dfxUbBR8833i1o7lFi8UoXpgHPC3eNQ/edit?usp=sharing","03")</f>
        <v>03</v>
      </c>
      <c r="F539" s="89"/>
      <c r="G539" s="90" t="s">
        <v>315</v>
      </c>
      <c r="H539" s="10" t="s">
        <v>315</v>
      </c>
      <c r="I539" s="43" t="s">
        <v>314</v>
      </c>
      <c r="J539" s="83" t="s">
        <v>114</v>
      </c>
      <c r="K539" s="83" t="s">
        <v>60</v>
      </c>
      <c r="L539" s="122"/>
    </row>
    <row r="540">
      <c r="A540" s="86"/>
      <c r="B540" s="86"/>
      <c r="C540" s="83" t="s">
        <v>596</v>
      </c>
      <c r="D540" s="83">
        <v>2.0</v>
      </c>
      <c r="E540" s="88" t="str">
        <f t="shared" si="23"/>
        <v>03</v>
      </c>
      <c r="F540" s="89"/>
      <c r="G540" s="90" t="s">
        <v>315</v>
      </c>
      <c r="H540" s="91" t="s">
        <v>315</v>
      </c>
      <c r="I540" s="92" t="s">
        <v>314</v>
      </c>
      <c r="J540" s="93" t="s">
        <v>91</v>
      </c>
      <c r="K540" s="83" t="s">
        <v>60</v>
      </c>
      <c r="L540" s="101" t="s">
        <v>597</v>
      </c>
    </row>
    <row r="541">
      <c r="A541" s="86"/>
      <c r="B541" s="86"/>
      <c r="C541" s="7"/>
      <c r="D541" s="7"/>
      <c r="E541" s="96" t="str">
        <f>HYPERLINK("https://docs.google.com/document/d/182ZKCUI6oLc7GdC4jv1rTQiYPsocn2zv0k3wCZCINos/edit?usp=sharing","04")</f>
        <v>04</v>
      </c>
      <c r="F541" s="97"/>
      <c r="G541" s="98" t="s">
        <v>315</v>
      </c>
      <c r="H541" s="91" t="s">
        <v>315</v>
      </c>
      <c r="I541" s="36" t="s">
        <v>314</v>
      </c>
      <c r="J541" s="99"/>
      <c r="K541" s="7"/>
      <c r="L541" s="7"/>
    </row>
    <row r="542">
      <c r="A542" s="86"/>
      <c r="B542" s="86"/>
      <c r="C542" s="109" t="s">
        <v>598</v>
      </c>
      <c r="D542" s="109">
        <v>1.0</v>
      </c>
      <c r="E542" s="106" t="str">
        <f>HYPERLINK("https://docs.google.com/document/d/1OhwAm4uq1g6PSeoG5CsjE711AXEgYeMwI8mcH0sPrJo/edit?usp=sharing","02")</f>
        <v>02</v>
      </c>
      <c r="F542" s="91" t="s">
        <v>599</v>
      </c>
      <c r="G542" s="108" t="s">
        <v>315</v>
      </c>
      <c r="H542" s="10" t="s">
        <v>315</v>
      </c>
      <c r="I542" s="105" t="s">
        <v>314</v>
      </c>
      <c r="J542" s="109" t="s">
        <v>105</v>
      </c>
      <c r="K542" s="109" t="s">
        <v>60</v>
      </c>
      <c r="L542" s="123"/>
    </row>
    <row r="543">
      <c r="A543" s="86"/>
      <c r="B543" s="86"/>
      <c r="C543" s="83" t="s">
        <v>600</v>
      </c>
      <c r="D543" s="83">
        <v>2.0</v>
      </c>
      <c r="E543" s="88" t="str">
        <f>HYPERLINK("https://docs.google.com/document/d/1I07NQgx39g0Q7f8SriZaOaVu5NvKkOmIebvj1-pambo/edit?usp=sharing","06")</f>
        <v>06</v>
      </c>
      <c r="F543" s="100" t="s">
        <v>601</v>
      </c>
      <c r="G543" s="90" t="s">
        <v>314</v>
      </c>
      <c r="H543" s="91" t="s">
        <v>314</v>
      </c>
      <c r="I543" s="92" t="s">
        <v>315</v>
      </c>
      <c r="J543" s="93" t="s">
        <v>68</v>
      </c>
      <c r="K543" s="83" t="s">
        <v>48</v>
      </c>
      <c r="L543" s="101" t="s">
        <v>340</v>
      </c>
    </row>
    <row r="544">
      <c r="A544" s="86"/>
      <c r="B544" s="86"/>
      <c r="C544" s="7"/>
      <c r="D544" s="7"/>
      <c r="E544" s="96" t="str">
        <f>HYPERLINK("https://docs.google.com/document/d/1i8lnlMyiEbTMx0JhOdUhHWJOfQ9WlC0hX8ykJErwWfk/edit?usp=sharing","07")</f>
        <v>07</v>
      </c>
      <c r="F544" s="104" t="s">
        <v>9</v>
      </c>
      <c r="G544" s="98" t="s">
        <v>315</v>
      </c>
      <c r="H544" s="91" t="s">
        <v>314</v>
      </c>
      <c r="I544" s="36" t="s">
        <v>315</v>
      </c>
      <c r="J544" s="99"/>
      <c r="K544" s="7"/>
      <c r="L544" s="7"/>
    </row>
    <row r="545">
      <c r="A545" s="86"/>
      <c r="B545" s="86"/>
      <c r="C545" s="83" t="s">
        <v>602</v>
      </c>
      <c r="D545" s="83">
        <v>2.0</v>
      </c>
      <c r="E545" s="106" t="str">
        <f>HYPERLINK("https://docs.google.com/document/d/1OhwAm4uq1g6PSeoG5CsjE711AXEgYeMwI8mcH0sPrJo/edit?usp=sharing","02")</f>
        <v>02</v>
      </c>
      <c r="F545" s="91" t="s">
        <v>599</v>
      </c>
      <c r="G545" s="108" t="s">
        <v>315</v>
      </c>
      <c r="H545" s="100" t="s">
        <v>315</v>
      </c>
      <c r="I545" s="105" t="s">
        <v>314</v>
      </c>
      <c r="J545" s="110" t="s">
        <v>83</v>
      </c>
      <c r="K545" s="109" t="s">
        <v>43</v>
      </c>
      <c r="L545" s="123"/>
    </row>
    <row r="546">
      <c r="A546" s="86"/>
      <c r="B546" s="86"/>
      <c r="C546" s="7"/>
      <c r="D546" s="7"/>
      <c r="E546" s="106" t="str">
        <f>HYPERLINK("https://docs.google.com/document/d/1ILkfXq2zZimc43MpeypZDiJq1_9U-mM0ouVs2iNXKIk/edit?usp=sharing","08")</f>
        <v>08</v>
      </c>
      <c r="F546" s="91" t="s">
        <v>603</v>
      </c>
      <c r="G546" s="108" t="s">
        <v>315</v>
      </c>
      <c r="H546" s="104" t="s">
        <v>314</v>
      </c>
      <c r="I546" s="36" t="s">
        <v>315</v>
      </c>
      <c r="J546" s="102"/>
      <c r="K546" s="86"/>
      <c r="L546" s="86"/>
    </row>
    <row r="547">
      <c r="A547" s="86"/>
      <c r="B547" s="86"/>
      <c r="C547" s="83" t="s">
        <v>604</v>
      </c>
      <c r="D547" s="83">
        <v>3.0</v>
      </c>
      <c r="E547" s="88" t="str">
        <f>HYPERLINK("https://docs.google.com/document/d/1OhwAm4uq1g6PSeoG5CsjE711AXEgYeMwI8mcH0sPrJo/edit?usp=sharing","02")</f>
        <v>02</v>
      </c>
      <c r="F547" s="100" t="s">
        <v>599</v>
      </c>
      <c r="G547" s="90" t="s">
        <v>315</v>
      </c>
      <c r="H547" s="91" t="s">
        <v>315</v>
      </c>
      <c r="I547" s="105" t="s">
        <v>314</v>
      </c>
      <c r="J547" s="93" t="s">
        <v>47</v>
      </c>
      <c r="K547" s="83" t="s">
        <v>58</v>
      </c>
      <c r="L547" s="122"/>
    </row>
    <row r="548">
      <c r="A548" s="86"/>
      <c r="B548" s="86"/>
      <c r="C548" s="86"/>
      <c r="D548" s="86"/>
      <c r="E548" s="106" t="str">
        <f>HYPERLINK("https://docs.google.com/document/d/1_nKGzygyT_wq1Kan9rAreu4T2q4J2TCtNpSZi1Kxbi4/edit?usp=sharing","05")</f>
        <v>05</v>
      </c>
      <c r="F548" s="91" t="s">
        <v>549</v>
      </c>
      <c r="G548" s="108" t="s">
        <v>314</v>
      </c>
      <c r="H548" s="91" t="s">
        <v>315</v>
      </c>
      <c r="I548" s="105" t="s">
        <v>314</v>
      </c>
      <c r="J548" s="102"/>
      <c r="K548" s="86"/>
      <c r="L548" s="86"/>
    </row>
    <row r="549">
      <c r="A549" s="86"/>
      <c r="B549" s="86"/>
      <c r="C549" s="7"/>
      <c r="D549" s="7"/>
      <c r="E549" s="96" t="str">
        <f>HYPERLINK("https://docs.google.com/document/d/1ILkfXq2zZimc43MpeypZDiJq1_9U-mM0ouVs2iNXKIk/edit?usp=sharing","08")</f>
        <v>08</v>
      </c>
      <c r="F549" s="104" t="s">
        <v>603</v>
      </c>
      <c r="G549" s="98" t="s">
        <v>315</v>
      </c>
      <c r="H549" s="91" t="s">
        <v>314</v>
      </c>
      <c r="I549" s="36" t="s">
        <v>315</v>
      </c>
      <c r="J549" s="99"/>
      <c r="K549" s="7"/>
      <c r="L549" s="7"/>
    </row>
    <row r="550">
      <c r="A550" s="86"/>
      <c r="B550" s="86"/>
      <c r="C550" s="109" t="s">
        <v>605</v>
      </c>
      <c r="D550" s="109">
        <v>3.0</v>
      </c>
      <c r="E550" s="106" t="str">
        <f>HYPERLINK("https://docs.google.com/document/d/1OhwAm4uq1g6PSeoG5CsjE711AXEgYeMwI8mcH0sPrJo/edit?usp=sharing","02")</f>
        <v>02</v>
      </c>
      <c r="F550" s="91" t="s">
        <v>599</v>
      </c>
      <c r="G550" s="108" t="s">
        <v>315</v>
      </c>
      <c r="H550" s="100" t="s">
        <v>315</v>
      </c>
      <c r="I550" s="105" t="s">
        <v>314</v>
      </c>
      <c r="J550" s="110" t="s">
        <v>66</v>
      </c>
      <c r="K550" s="109" t="s">
        <v>46</v>
      </c>
      <c r="L550" s="123"/>
    </row>
    <row r="551">
      <c r="A551" s="86"/>
      <c r="B551" s="86"/>
      <c r="C551" s="86"/>
      <c r="D551" s="86"/>
      <c r="E551" s="106" t="str">
        <f>HYPERLINK("https://docs.google.com/document/d/182ZKCUI6oLc7GdC4jv1rTQiYPsocn2zv0k3wCZCINos/edit?usp=sharing","04")</f>
        <v>04</v>
      </c>
      <c r="F551" s="107"/>
      <c r="G551" s="108" t="s">
        <v>315</v>
      </c>
      <c r="H551" s="91" t="s">
        <v>315</v>
      </c>
      <c r="I551" s="105" t="s">
        <v>314</v>
      </c>
      <c r="J551" s="102"/>
      <c r="K551" s="86"/>
      <c r="L551" s="86"/>
    </row>
    <row r="552">
      <c r="A552" s="86"/>
      <c r="B552" s="86"/>
      <c r="C552" s="86"/>
      <c r="D552" s="86"/>
      <c r="E552" s="106" t="str">
        <f>HYPERLINK("https://docs.google.com/document/d/1ILkfXq2zZimc43MpeypZDiJq1_9U-mM0ouVs2iNXKIk/edit?usp=sharing","08")</f>
        <v>08</v>
      </c>
      <c r="F552" s="91" t="s">
        <v>603</v>
      </c>
      <c r="G552" s="108" t="s">
        <v>315</v>
      </c>
      <c r="H552" s="104" t="s">
        <v>314</v>
      </c>
      <c r="I552" s="36" t="s">
        <v>315</v>
      </c>
      <c r="J552" s="102"/>
      <c r="K552" s="86"/>
      <c r="L552" s="86"/>
    </row>
    <row r="553">
      <c r="A553" s="86"/>
      <c r="B553" s="86"/>
      <c r="C553" s="83" t="s">
        <v>606</v>
      </c>
      <c r="D553" s="83">
        <v>3.0</v>
      </c>
      <c r="E553" s="88" t="str">
        <f>HYPERLINK("https://docs.google.com/document/d/182ZKCUI6oLc7GdC4jv1rTQiYPsocn2zv0k3wCZCINos/edit?usp=sharing","04")</f>
        <v>04</v>
      </c>
      <c r="F553" s="89"/>
      <c r="G553" s="90" t="s">
        <v>315</v>
      </c>
      <c r="H553" s="91" t="s">
        <v>315</v>
      </c>
      <c r="I553" s="105" t="s">
        <v>314</v>
      </c>
      <c r="J553" s="93" t="s">
        <v>70</v>
      </c>
      <c r="K553" s="83" t="s">
        <v>24</v>
      </c>
      <c r="L553" s="122"/>
    </row>
    <row r="554">
      <c r="A554" s="86"/>
      <c r="B554" s="86"/>
      <c r="C554" s="86"/>
      <c r="D554" s="86"/>
      <c r="E554" s="106" t="str">
        <f>HYPERLINK("https://docs.google.com/document/d/1ILkfXq2zZimc43MpeypZDiJq1_9U-mM0ouVs2iNXKIk/edit?usp=sharing","08")</f>
        <v>08</v>
      </c>
      <c r="F554" s="91" t="s">
        <v>603</v>
      </c>
      <c r="G554" s="108" t="s">
        <v>314</v>
      </c>
      <c r="H554" s="91" t="s">
        <v>314</v>
      </c>
      <c r="I554" s="105" t="s">
        <v>315</v>
      </c>
      <c r="J554" s="102"/>
      <c r="K554" s="86"/>
      <c r="L554" s="86"/>
    </row>
    <row r="555">
      <c r="A555" s="86"/>
      <c r="B555" s="86"/>
      <c r="C555" s="7"/>
      <c r="D555" s="7"/>
      <c r="E555" s="96" t="str">
        <f>HYPERLINK("https://docs.google.com/document/d/1dy9OWo0csRGIFwZOXODeCpck6gdBEhUGEF-9yK5tgvI/edit?usp=sharing","12")</f>
        <v>12</v>
      </c>
      <c r="F555" s="97"/>
      <c r="G555" s="98" t="s">
        <v>314</v>
      </c>
      <c r="H555" s="91" t="s">
        <v>314</v>
      </c>
      <c r="I555" s="105" t="s">
        <v>315</v>
      </c>
      <c r="J555" s="99"/>
      <c r="K555" s="7"/>
      <c r="L555" s="7"/>
    </row>
    <row r="556">
      <c r="A556" s="86"/>
      <c r="B556" s="86"/>
      <c r="C556" s="109" t="s">
        <v>299</v>
      </c>
      <c r="D556" s="109">
        <v>2.0</v>
      </c>
      <c r="E556" s="106" t="str">
        <f>HYPERLINK("https://docs.google.com/document/d/1OhwAm4uq1g6PSeoG5CsjE711AXEgYeMwI8mcH0sPrJo/edit?usp=sharing","02")</f>
        <v>02</v>
      </c>
      <c r="F556" s="91" t="s">
        <v>599</v>
      </c>
      <c r="G556" s="108" t="s">
        <v>315</v>
      </c>
      <c r="H556" s="100" t="s">
        <v>315</v>
      </c>
      <c r="I556" s="92" t="s">
        <v>314</v>
      </c>
      <c r="J556" s="110" t="s">
        <v>32</v>
      </c>
      <c r="K556" s="109" t="s">
        <v>26</v>
      </c>
      <c r="L556" s="123"/>
    </row>
    <row r="557">
      <c r="A557" s="7"/>
      <c r="B557" s="7"/>
      <c r="C557" s="7"/>
      <c r="D557" s="7"/>
      <c r="E557" s="106" t="str">
        <f>HYPERLINK("https://docs.google.com/document/d/1i8lnlMyiEbTMx0JhOdUhHWJOfQ9WlC0hX8ykJErwWfk/edit?usp=sharing","07")</f>
        <v>07</v>
      </c>
      <c r="F557" s="104" t="s">
        <v>9</v>
      </c>
      <c r="G557" s="98" t="s">
        <v>315</v>
      </c>
      <c r="H557" s="104" t="s">
        <v>315</v>
      </c>
      <c r="I557" s="36" t="s">
        <v>315</v>
      </c>
      <c r="J557" s="99"/>
      <c r="K557" s="7"/>
      <c r="L557" s="7"/>
    </row>
    <row r="558">
      <c r="A558" s="82" t="str">
        <f>HYPERLINK("https://docs.google.com/spreadsheets/d/1iNFGyKFcJm-tPp7Dg94yi7mHCDbJssmAD_PiaDM_tAE/edit?usp=sharing","29")</f>
        <v>29</v>
      </c>
      <c r="B558" s="138">
        <v>25.0</v>
      </c>
      <c r="C558" s="121" t="s">
        <v>607</v>
      </c>
      <c r="D558" s="121">
        <v>1.0</v>
      </c>
      <c r="E558" s="84" t="str">
        <f>HYPERLINK("https://docs.google.com/document/d/13yELxaCjf8XXA1HxdGr9RFtMqTkViYphb5o6z_6BspM/edit?usp=sharing","02")</f>
        <v>02</v>
      </c>
      <c r="F558" s="27"/>
      <c r="G558" s="103" t="s">
        <v>315</v>
      </c>
      <c r="H558" s="10" t="s">
        <v>315</v>
      </c>
      <c r="I558" s="36" t="s">
        <v>314</v>
      </c>
      <c r="J558" s="121" t="s">
        <v>113</v>
      </c>
      <c r="K558" s="121" t="s">
        <v>60</v>
      </c>
      <c r="L558" s="128"/>
    </row>
    <row r="559">
      <c r="A559" s="86"/>
      <c r="C559" s="121" t="s">
        <v>236</v>
      </c>
      <c r="D559" s="121">
        <v>1.0</v>
      </c>
      <c r="E559" s="139" t="str">
        <f t="shared" ref="E559:E560" si="24">HYPERLINK("https://docs.google.com/document/d/11uEUTuexJCFhoMrbX-SiVjuYcKbL6-DYLqL-imNGM5Q/edit?usp=sharing","03")</f>
        <v>03</v>
      </c>
      <c r="F559" s="27"/>
      <c r="G559" s="103" t="s">
        <v>314</v>
      </c>
      <c r="H559" s="10" t="s">
        <v>315</v>
      </c>
      <c r="I559" s="43" t="s">
        <v>314</v>
      </c>
      <c r="J559" s="121" t="s">
        <v>114</v>
      </c>
      <c r="K559" s="121" t="s">
        <v>60</v>
      </c>
      <c r="L559" s="128"/>
    </row>
    <row r="560">
      <c r="A560" s="86"/>
      <c r="C560" s="121" t="s">
        <v>608</v>
      </c>
      <c r="D560" s="121">
        <v>1.0</v>
      </c>
      <c r="E560" s="139" t="str">
        <f t="shared" si="24"/>
        <v>03</v>
      </c>
      <c r="F560" s="27"/>
      <c r="G560" s="103" t="s">
        <v>315</v>
      </c>
      <c r="H560" s="10" t="s">
        <v>314</v>
      </c>
      <c r="I560" s="43" t="s">
        <v>315</v>
      </c>
      <c r="J560" s="121" t="s">
        <v>91</v>
      </c>
      <c r="K560" s="121" t="s">
        <v>60</v>
      </c>
      <c r="L560" s="128"/>
    </row>
    <row r="561">
      <c r="A561" s="86"/>
      <c r="C561" s="121" t="s">
        <v>609</v>
      </c>
      <c r="D561" s="121">
        <v>1.0</v>
      </c>
      <c r="E561" s="84" t="str">
        <f>HYPERLINK("https://docs.google.com/document/d/13yELxaCjf8XXA1HxdGr9RFtMqTkViYphb5o6z_6BspM/edit?usp=sharing","02")</f>
        <v>02</v>
      </c>
      <c r="F561" s="27"/>
      <c r="G561" s="103" t="s">
        <v>315</v>
      </c>
      <c r="H561" s="10" t="s">
        <v>315</v>
      </c>
      <c r="I561" s="43" t="s">
        <v>314</v>
      </c>
      <c r="J561" s="121" t="s">
        <v>105</v>
      </c>
      <c r="K561" s="121" t="s">
        <v>60</v>
      </c>
      <c r="L561" s="136" t="s">
        <v>366</v>
      </c>
    </row>
    <row r="562">
      <c r="A562" s="86"/>
      <c r="C562" s="121" t="s">
        <v>610</v>
      </c>
      <c r="D562" s="121">
        <v>1.0</v>
      </c>
      <c r="E562" s="139" t="str">
        <f>HYPERLINK("https://docs.google.com/document/d/1tTwUCJ4AGsWzOd0FCkkzTRkRB3DiW3vgL6pAvJytpoE/edit?usp=sharing","04")</f>
        <v>04</v>
      </c>
      <c r="F562" s="27"/>
      <c r="G562" s="103" t="s">
        <v>314</v>
      </c>
      <c r="H562" s="10" t="s">
        <v>315</v>
      </c>
      <c r="I562" s="43" t="s">
        <v>314</v>
      </c>
      <c r="J562" s="121" t="s">
        <v>85</v>
      </c>
      <c r="K562" s="121" t="s">
        <v>84</v>
      </c>
      <c r="L562" s="128"/>
    </row>
    <row r="563">
      <c r="A563" s="86"/>
      <c r="C563" s="109" t="s">
        <v>611</v>
      </c>
      <c r="D563" s="140">
        <v>4.0</v>
      </c>
      <c r="E563" s="106" t="str">
        <f>HYPERLINK("https://docs.google.com/document/d/13yELxaCjf8XXA1HxdGr9RFtMqTkViYphb5o6z_6BspM/edit?usp=sharing","02")</f>
        <v>02</v>
      </c>
      <c r="F563" s="28"/>
      <c r="G563" s="90" t="s">
        <v>314</v>
      </c>
      <c r="H563" s="91" t="s">
        <v>314</v>
      </c>
      <c r="I563" s="105" t="s">
        <v>315</v>
      </c>
      <c r="J563" s="140" t="s">
        <v>83</v>
      </c>
      <c r="K563" s="109" t="s">
        <v>43</v>
      </c>
      <c r="L563" s="141"/>
    </row>
    <row r="564">
      <c r="A564" s="86"/>
      <c r="C564" s="86"/>
      <c r="E564" s="142" t="str">
        <f>HYPERLINK("https://docs.google.com/document/d/1tTwUCJ4AGsWzOd0FCkkzTRkRB3DiW3vgL6pAvJytpoE/edit?usp=sharing","04")</f>
        <v>04</v>
      </c>
      <c r="F564" s="28"/>
      <c r="G564" s="108" t="s">
        <v>314</v>
      </c>
      <c r="H564" s="91" t="s">
        <v>315</v>
      </c>
      <c r="I564" s="105" t="s">
        <v>314</v>
      </c>
      <c r="K564" s="86"/>
      <c r="L564" s="102"/>
    </row>
    <row r="565">
      <c r="A565" s="86"/>
      <c r="C565" s="86"/>
      <c r="E565" s="142" t="str">
        <f>HYPERLINK("https://docs.google.com/document/d/1UViSP7cI6CNsJD1PwV0LXonTBO4wFJ2NV2L6xIdXA4g/edit?usp=sharing","06")</f>
        <v>06</v>
      </c>
      <c r="F565" s="28"/>
      <c r="G565" s="108" t="s">
        <v>315</v>
      </c>
      <c r="H565" s="91" t="s">
        <v>315</v>
      </c>
      <c r="I565" s="105" t="s">
        <v>314</v>
      </c>
      <c r="K565" s="86"/>
      <c r="L565" s="102"/>
    </row>
    <row r="566">
      <c r="A566" s="86"/>
      <c r="C566" s="86"/>
      <c r="E566" s="142" t="str">
        <f>HYPERLINK("https://docs.google.com/document/d/1bXZMTzzYapOjgYlEEXyDrxS9u_3QZ2io6U402_5vSHw/edit?usp=sharing","10")</f>
        <v>10</v>
      </c>
      <c r="F566" s="118" t="s">
        <v>612</v>
      </c>
      <c r="G566" s="98" t="s">
        <v>314</v>
      </c>
      <c r="H566" s="91" t="s">
        <v>314</v>
      </c>
      <c r="I566" s="105" t="s">
        <v>315</v>
      </c>
      <c r="K566" s="86"/>
      <c r="L566" s="102"/>
    </row>
    <row r="567">
      <c r="A567" s="86"/>
      <c r="C567" s="83" t="s">
        <v>613</v>
      </c>
      <c r="D567" s="138">
        <v>3.0</v>
      </c>
      <c r="E567" s="88" t="str">
        <f>HYPERLINK("https://docs.google.com/document/d/13yELxaCjf8XXA1HxdGr9RFtMqTkViYphb5o6z_6BspM/edit?usp=sharing","02")</f>
        <v>02</v>
      </c>
      <c r="F567" s="143"/>
      <c r="G567" s="90" t="s">
        <v>315</v>
      </c>
      <c r="H567" s="100" t="s">
        <v>315</v>
      </c>
      <c r="I567" s="92" t="s">
        <v>314</v>
      </c>
      <c r="J567" s="138" t="s">
        <v>47</v>
      </c>
      <c r="K567" s="83" t="s">
        <v>58</v>
      </c>
      <c r="L567" s="144" t="s">
        <v>364</v>
      </c>
    </row>
    <row r="568">
      <c r="A568" s="86"/>
      <c r="C568" s="86"/>
      <c r="E568" s="142" t="str">
        <f>HYPERLINK("https://docs.google.com/document/d/11uEUTuexJCFhoMrbX-SiVjuYcKbL6-DYLqL-imNGM5Q/edit?usp=sharing","03")</f>
        <v>03</v>
      </c>
      <c r="F568" s="28"/>
      <c r="G568" s="108" t="s">
        <v>314</v>
      </c>
      <c r="H568" s="91" t="s">
        <v>315</v>
      </c>
      <c r="I568" s="105" t="s">
        <v>314</v>
      </c>
      <c r="K568" s="86"/>
      <c r="L568" s="102"/>
    </row>
    <row r="569">
      <c r="A569" s="86"/>
      <c r="C569" s="7"/>
      <c r="D569" s="145"/>
      <c r="E569" s="146" t="str">
        <f>HYPERLINK("https://docs.google.com/document/d/1tTwUCJ4AGsWzOd0FCkkzTRkRB3DiW3vgL6pAvJytpoE/edit?usp=sharing","04")</f>
        <v>04</v>
      </c>
      <c r="F569" s="147"/>
      <c r="G569" s="98" t="s">
        <v>315</v>
      </c>
      <c r="H569" s="104" t="s">
        <v>314</v>
      </c>
      <c r="I569" s="36" t="s">
        <v>315</v>
      </c>
      <c r="J569" s="145"/>
      <c r="K569" s="7"/>
      <c r="L569" s="99"/>
    </row>
    <row r="570">
      <c r="A570" s="86"/>
      <c r="C570" s="109" t="s">
        <v>614</v>
      </c>
      <c r="D570" s="140">
        <v>3.0</v>
      </c>
      <c r="E570" s="106" t="str">
        <f>HYPERLINK("https://docs.google.com/document/d/13yELxaCjf8XXA1HxdGr9RFtMqTkViYphb5o6z_6BspM/edit?usp=sharing","02")</f>
        <v>02</v>
      </c>
      <c r="F570" s="28"/>
      <c r="G570" s="108" t="s">
        <v>314</v>
      </c>
      <c r="H570" s="91" t="s">
        <v>314</v>
      </c>
      <c r="I570" s="105" t="s">
        <v>315</v>
      </c>
      <c r="J570" s="140" t="s">
        <v>66</v>
      </c>
      <c r="K570" s="109" t="s">
        <v>46</v>
      </c>
      <c r="L570" s="141"/>
    </row>
    <row r="571">
      <c r="A571" s="86"/>
      <c r="C571" s="86"/>
      <c r="E571" s="142" t="str">
        <f>HYPERLINK("https://docs.google.com/document/d/1IIejbyo7xiZU4KnBoYDsAfLlgiNHo6FWoja3-bCOKYM/edit?usp=sharing","07")</f>
        <v>07</v>
      </c>
      <c r="F571" s="118" t="s">
        <v>615</v>
      </c>
      <c r="G571" s="108" t="s">
        <v>315</v>
      </c>
      <c r="H571" s="91" t="s">
        <v>314</v>
      </c>
      <c r="I571" s="105" t="s">
        <v>334</v>
      </c>
      <c r="K571" s="86"/>
      <c r="L571" s="102"/>
    </row>
    <row r="572">
      <c r="A572" s="86"/>
      <c r="C572" s="86"/>
      <c r="E572" s="142" t="str">
        <f>HYPERLINK("https://docs.google.com/document/d/19uIQUhDXZNofYMaF-eYHWgqtJb9PNuumBntMml8VjVk/edit?usp=sharing","09")</f>
        <v>09</v>
      </c>
      <c r="F572" s="28"/>
      <c r="G572" s="108" t="s">
        <v>315</v>
      </c>
      <c r="H572" s="91" t="s">
        <v>314</v>
      </c>
      <c r="I572" s="105" t="s">
        <v>315</v>
      </c>
      <c r="K572" s="86"/>
      <c r="L572" s="102"/>
    </row>
    <row r="573">
      <c r="A573" s="86"/>
      <c r="C573" s="121" t="s">
        <v>616</v>
      </c>
      <c r="D573" s="121">
        <v>1.0</v>
      </c>
      <c r="E573" s="139" t="str">
        <f>HYPERLINK("https://docs.google.com/document/d/11uEUTuexJCFhoMrbX-SiVjuYcKbL6-DYLqL-imNGM5Q/edit?usp=sharing","03")</f>
        <v>03</v>
      </c>
      <c r="F573" s="27"/>
      <c r="G573" s="103" t="s">
        <v>314</v>
      </c>
      <c r="H573" s="10" t="s">
        <v>315</v>
      </c>
      <c r="I573" s="43" t="s">
        <v>314</v>
      </c>
      <c r="J573" s="121" t="s">
        <v>56</v>
      </c>
      <c r="K573" s="121" t="s">
        <v>37</v>
      </c>
      <c r="L573" s="128"/>
    </row>
    <row r="574">
      <c r="A574" s="86"/>
      <c r="C574" s="121" t="s">
        <v>617</v>
      </c>
      <c r="D574" s="121">
        <v>1.0</v>
      </c>
      <c r="E574" s="139" t="str">
        <f>HYPERLINK("https://docs.google.com/document/d/1UViSP7cI6CNsJD1PwV0LXonTBO4wFJ2NV2L6xIdXA4g/edit?usp=sharing","06")</f>
        <v>06</v>
      </c>
      <c r="F574" s="10" t="s">
        <v>618</v>
      </c>
      <c r="G574" s="103" t="s">
        <v>314</v>
      </c>
      <c r="H574" s="10" t="s">
        <v>314</v>
      </c>
      <c r="I574" s="43" t="s">
        <v>315</v>
      </c>
      <c r="J574" s="121" t="s">
        <v>70</v>
      </c>
      <c r="K574" s="121" t="s">
        <v>24</v>
      </c>
      <c r="L574" s="128"/>
    </row>
    <row r="575">
      <c r="A575" s="86"/>
      <c r="C575" s="121" t="s">
        <v>234</v>
      </c>
      <c r="D575" s="121">
        <v>1.0</v>
      </c>
      <c r="E575" s="84" t="str">
        <f>HYPERLINK("https://docs.google.com/document/d/13yELxaCjf8XXA1HxdGr9RFtMqTkViYphb5o6z_6BspM/edit?usp=sharing","02")</f>
        <v>02</v>
      </c>
      <c r="F575" s="27"/>
      <c r="G575" s="103" t="s">
        <v>315</v>
      </c>
      <c r="H575" s="10" t="s">
        <v>315</v>
      </c>
      <c r="I575" s="43" t="s">
        <v>314</v>
      </c>
      <c r="J575" s="121" t="s">
        <v>41</v>
      </c>
      <c r="K575" s="121" t="s">
        <v>40</v>
      </c>
      <c r="L575" s="128"/>
    </row>
    <row r="576">
      <c r="A576" s="86"/>
      <c r="C576" s="121" t="s">
        <v>619</v>
      </c>
      <c r="D576" s="121">
        <v>1.0</v>
      </c>
      <c r="E576" s="139" t="str">
        <f>HYPERLINK("https://docs.google.com/document/d/1tTwUCJ4AGsWzOd0FCkkzTRkRB3DiW3vgL6pAvJytpoE/edit?usp=sharing","04")</f>
        <v>04</v>
      </c>
      <c r="F576" s="27"/>
      <c r="G576" s="103" t="s">
        <v>315</v>
      </c>
      <c r="H576" s="10" t="s">
        <v>314</v>
      </c>
      <c r="I576" s="43" t="s">
        <v>315</v>
      </c>
      <c r="J576" s="121" t="s">
        <v>34</v>
      </c>
      <c r="K576" s="121" t="s">
        <v>33</v>
      </c>
      <c r="L576" s="128"/>
    </row>
    <row r="577">
      <c r="A577" s="86"/>
      <c r="C577" s="109" t="s">
        <v>620</v>
      </c>
      <c r="D577" s="140">
        <v>4.0</v>
      </c>
      <c r="E577" s="106" t="str">
        <f>HYPERLINK("https://docs.google.com/document/d/13yELxaCjf8XXA1HxdGr9RFtMqTkViYphb5o6z_6BspM/edit?usp=sharing","02")</f>
        <v>02</v>
      </c>
      <c r="F577" s="28"/>
      <c r="G577" s="108" t="s">
        <v>314</v>
      </c>
      <c r="H577" s="91" t="s">
        <v>314</v>
      </c>
      <c r="I577" s="105" t="s">
        <v>315</v>
      </c>
      <c r="J577" s="140" t="s">
        <v>32</v>
      </c>
      <c r="K577" s="109" t="s">
        <v>31</v>
      </c>
      <c r="L577" s="148" t="s">
        <v>340</v>
      </c>
    </row>
    <row r="578">
      <c r="A578" s="86"/>
      <c r="C578" s="86"/>
      <c r="E578" s="142" t="str">
        <f>HYPERLINK("https://docs.google.com/document/d/11uEUTuexJCFhoMrbX-SiVjuYcKbL6-DYLqL-imNGM5Q/edit?usp=sharing","03")</f>
        <v>03</v>
      </c>
      <c r="F578" s="28"/>
      <c r="G578" s="108" t="s">
        <v>315</v>
      </c>
      <c r="H578" s="91" t="s">
        <v>314</v>
      </c>
      <c r="I578" s="105" t="s">
        <v>315</v>
      </c>
      <c r="K578" s="86"/>
      <c r="L578" s="102"/>
    </row>
    <row r="579">
      <c r="A579" s="86"/>
      <c r="C579" s="86"/>
      <c r="E579" s="142" t="str">
        <f>HYPERLINK("https://docs.google.com/document/d/1UViSP7cI6CNsJD1PwV0LXonTBO4wFJ2NV2L6xIdXA4g/edit?usp=sharing","06")</f>
        <v>06</v>
      </c>
      <c r="F579" s="28"/>
      <c r="G579" s="108" t="s">
        <v>314</v>
      </c>
      <c r="H579" s="91" t="s">
        <v>314</v>
      </c>
      <c r="I579" s="105" t="s">
        <v>315</v>
      </c>
      <c r="K579" s="86"/>
      <c r="L579" s="102"/>
    </row>
    <row r="580">
      <c r="A580" s="86"/>
      <c r="C580" s="86"/>
      <c r="E580" s="142" t="str">
        <f>HYPERLINK("https://docs.google.com/document/d/19uIQUhDXZNofYMaF-eYHWgqtJb9PNuumBntMml8VjVk/edit?usp=sharing","09")</f>
        <v>09</v>
      </c>
      <c r="F580" s="28"/>
      <c r="G580" s="108" t="s">
        <v>315</v>
      </c>
      <c r="H580" s="91" t="s">
        <v>314</v>
      </c>
      <c r="I580" s="105" t="s">
        <v>315</v>
      </c>
      <c r="K580" s="86"/>
      <c r="L580" s="102"/>
    </row>
    <row r="581">
      <c r="A581" s="86"/>
      <c r="C581" s="83" t="s">
        <v>74</v>
      </c>
      <c r="D581" s="138">
        <v>2.0</v>
      </c>
      <c r="E581" s="149" t="str">
        <f>HYPERLINK("https://docs.google.com/document/d/1mOckDu4ZSUIgK2kGnYW-7yBngc7vI0taEPzzQEELOQ8/edit?usp=sharing","05")</f>
        <v>05</v>
      </c>
      <c r="F581" s="116" t="s">
        <v>549</v>
      </c>
      <c r="G581" s="90" t="s">
        <v>314</v>
      </c>
      <c r="H581" s="100" t="s">
        <v>315</v>
      </c>
      <c r="I581" s="92" t="s">
        <v>314</v>
      </c>
      <c r="J581" s="138" t="s">
        <v>29</v>
      </c>
      <c r="K581" s="83" t="s">
        <v>28</v>
      </c>
      <c r="L581" s="150"/>
    </row>
    <row r="582">
      <c r="A582" s="7"/>
      <c r="B582" s="145"/>
      <c r="C582" s="7"/>
      <c r="D582" s="145"/>
      <c r="E582" s="146" t="str">
        <f>HYPERLINK("https://docs.google.com/document/d/1IIejbyo7xiZU4KnBoYDsAfLlgiNHo6FWoja3-bCOKYM/edit?usp=sharing","07")</f>
        <v>07</v>
      </c>
      <c r="F582" s="120" t="s">
        <v>615</v>
      </c>
      <c r="G582" s="98" t="s">
        <v>315</v>
      </c>
      <c r="H582" s="104" t="s">
        <v>314</v>
      </c>
      <c r="I582" s="36" t="s">
        <v>334</v>
      </c>
      <c r="J582" s="145"/>
      <c r="K582" s="7"/>
      <c r="L582" s="99"/>
    </row>
    <row r="583">
      <c r="A583" s="82" t="str">
        <f>HYPERLINK("https://docs.google.com/spreadsheets/d/1HA0vQC0CSnQtVc8u58vwNd3sIFCc79SKVqM1abMG1hI/edit?usp=sharing","30")</f>
        <v>30</v>
      </c>
      <c r="B583" s="138">
        <v>19.0</v>
      </c>
      <c r="C583" s="83" t="s">
        <v>621</v>
      </c>
      <c r="D583" s="138">
        <v>2.0</v>
      </c>
      <c r="E583" s="149" t="str">
        <f>HYPERLINK("https://docs.google.com/document/d/1CUPg0TfK0lsWwK5i96l4HMKEsNwF_XDuU3LLUtMMD5A/edit?usp=sharing","03")</f>
        <v>03</v>
      </c>
      <c r="F583" s="143"/>
      <c r="G583" s="90" t="s">
        <v>314</v>
      </c>
      <c r="H583" s="91" t="s">
        <v>315</v>
      </c>
      <c r="I583" s="92" t="s">
        <v>314</v>
      </c>
      <c r="J583" s="138" t="s">
        <v>114</v>
      </c>
      <c r="K583" s="83" t="s">
        <v>60</v>
      </c>
      <c r="L583" s="144" t="s">
        <v>340</v>
      </c>
    </row>
    <row r="584">
      <c r="A584" s="86"/>
      <c r="C584" s="7"/>
      <c r="D584" s="145"/>
      <c r="E584" s="146" t="str">
        <f>HYPERLINK("https://docs.google.com/document/d/1LpQ4dj6OGonLplLo4c6Y5PPg9B2vy5hEGg27CTm7vfI/edit?usp=sharing","04")</f>
        <v>04</v>
      </c>
      <c r="F584" s="147"/>
      <c r="G584" s="98" t="s">
        <v>315</v>
      </c>
      <c r="H584" s="91" t="s">
        <v>315</v>
      </c>
      <c r="I584" s="36" t="s">
        <v>314</v>
      </c>
      <c r="J584" s="145"/>
      <c r="K584" s="7"/>
      <c r="L584" s="99"/>
    </row>
    <row r="585">
      <c r="A585" s="86"/>
      <c r="C585" s="109" t="s">
        <v>622</v>
      </c>
      <c r="D585" s="140">
        <v>1.0</v>
      </c>
      <c r="E585" s="142" t="str">
        <f>HYPERLINK("https://docs.google.com/document/d/1VH9MihtWyeCDYpoVdb7Aa2FbWdEQpQ9V80nFjmfO4WE/edit?usp=sharing","02")</f>
        <v>02</v>
      </c>
      <c r="F585" s="28"/>
      <c r="G585" s="108" t="s">
        <v>314</v>
      </c>
      <c r="H585" s="10" t="s">
        <v>315</v>
      </c>
      <c r="I585" s="105" t="s">
        <v>314</v>
      </c>
      <c r="J585" s="140" t="s">
        <v>105</v>
      </c>
      <c r="K585" s="109" t="s">
        <v>60</v>
      </c>
      <c r="L585" s="141"/>
    </row>
    <row r="586">
      <c r="A586" s="86"/>
      <c r="C586" s="83" t="s">
        <v>222</v>
      </c>
      <c r="D586" s="138">
        <v>2.0</v>
      </c>
      <c r="E586" s="149" t="str">
        <f>HYPERLINK("https://docs.google.com/document/d/1LpQ4dj6OGonLplLo4c6Y5PPg9B2vy5hEGg27CTm7vfI/edit?usp=sharing","04")</f>
        <v>04</v>
      </c>
      <c r="F586" s="143"/>
      <c r="G586" s="90" t="s">
        <v>315</v>
      </c>
      <c r="H586" s="91" t="s">
        <v>315</v>
      </c>
      <c r="I586" s="92" t="s">
        <v>314</v>
      </c>
      <c r="J586" s="138" t="s">
        <v>68</v>
      </c>
      <c r="K586" s="83" t="s">
        <v>48</v>
      </c>
      <c r="L586" s="144" t="s">
        <v>340</v>
      </c>
    </row>
    <row r="587">
      <c r="A587" s="86"/>
      <c r="C587" s="7"/>
      <c r="D587" s="145"/>
      <c r="E587" s="146" t="str">
        <f>HYPERLINK("https://docs.google.com/document/d/1A2ArBKzf4f0T4mgWFqc8RlX2i-BlZKKQNUGfdPumDUc/edit?usp=sharing","05")</f>
        <v>05</v>
      </c>
      <c r="F587" s="120" t="s">
        <v>549</v>
      </c>
      <c r="G587" s="98" t="s">
        <v>315</v>
      </c>
      <c r="H587" s="91" t="s">
        <v>315</v>
      </c>
      <c r="I587" s="36" t="s">
        <v>314</v>
      </c>
      <c r="J587" s="145"/>
      <c r="K587" s="7"/>
      <c r="L587" s="99"/>
    </row>
    <row r="588">
      <c r="A588" s="86"/>
      <c r="C588" s="109" t="s">
        <v>623</v>
      </c>
      <c r="D588" s="140">
        <v>3.0</v>
      </c>
      <c r="E588" s="142" t="str">
        <f>HYPERLINK("https://docs.google.com/document/d/1LpQ4dj6OGonLplLo4c6Y5PPg9B2vy5hEGg27CTm7vfI/edit?usp=sharing","04")</f>
        <v>04</v>
      </c>
      <c r="F588" s="28"/>
      <c r="G588" s="108" t="s">
        <v>315</v>
      </c>
      <c r="H588" s="100" t="s">
        <v>315</v>
      </c>
      <c r="I588" s="105" t="s">
        <v>314</v>
      </c>
      <c r="J588" s="140" t="s">
        <v>66</v>
      </c>
      <c r="K588" s="109" t="s">
        <v>46</v>
      </c>
      <c r="L588" s="141"/>
    </row>
    <row r="589">
      <c r="A589" s="86"/>
      <c r="C589" s="86"/>
      <c r="E589" s="142" t="str">
        <f>HYPERLINK("https://docs.google.com/document/d/1Y7gKOPi9f5vJb7wcE28LHT2EMt3KwvYti78QO094nVg/edit?usp=sharing","06")</f>
        <v>06</v>
      </c>
      <c r="F589" s="28"/>
      <c r="G589" s="108" t="s">
        <v>314</v>
      </c>
      <c r="H589" s="91" t="s">
        <v>314</v>
      </c>
      <c r="I589" s="105" t="s">
        <v>315</v>
      </c>
      <c r="K589" s="86"/>
      <c r="L589" s="102"/>
    </row>
    <row r="590">
      <c r="A590" s="86"/>
      <c r="C590" s="86"/>
      <c r="E590" s="142" t="str">
        <f>HYPERLINK("https://docs.google.com/document/d/1HPky1yFN3qbT-IxIKcrYo1qtIRTm8JTVll02m0Fg0Sk/edit?usp=sharing","09")</f>
        <v>09</v>
      </c>
      <c r="F590" s="28"/>
      <c r="G590" s="108" t="s">
        <v>315</v>
      </c>
      <c r="H590" s="104" t="s">
        <v>315</v>
      </c>
      <c r="I590" s="105" t="s">
        <v>315</v>
      </c>
      <c r="K590" s="86"/>
      <c r="L590" s="102"/>
    </row>
    <row r="591">
      <c r="A591" s="86"/>
      <c r="C591" s="83" t="s">
        <v>624</v>
      </c>
      <c r="D591" s="138">
        <v>2.0</v>
      </c>
      <c r="E591" s="149" t="str">
        <f>HYPERLINK("https://docs.google.com/document/d/1VH9MihtWyeCDYpoVdb7Aa2FbWdEQpQ9V80nFjmfO4WE/edit?usp=sharing","02")</f>
        <v>02</v>
      </c>
      <c r="F591" s="143"/>
      <c r="G591" s="90" t="s">
        <v>314</v>
      </c>
      <c r="H591" s="91" t="s">
        <v>315</v>
      </c>
      <c r="I591" s="92" t="s">
        <v>314</v>
      </c>
      <c r="J591" s="138" t="s">
        <v>56</v>
      </c>
      <c r="K591" s="83" t="s">
        <v>37</v>
      </c>
      <c r="L591" s="150"/>
    </row>
    <row r="592">
      <c r="A592" s="86"/>
      <c r="C592" s="7"/>
      <c r="D592" s="145"/>
      <c r="E592" s="146" t="str">
        <f>HYPERLINK("https://docs.google.com/document/d/1HPky1yFN3qbT-IxIKcrYo1qtIRTm8JTVll02m0Fg0Sk/edit?usp=sharing","09")</f>
        <v>09</v>
      </c>
      <c r="F592" s="147"/>
      <c r="G592" s="98" t="s">
        <v>315</v>
      </c>
      <c r="H592" s="91" t="s">
        <v>314</v>
      </c>
      <c r="I592" s="36" t="s">
        <v>315</v>
      </c>
      <c r="J592" s="145"/>
      <c r="K592" s="7"/>
      <c r="L592" s="99"/>
    </row>
    <row r="593">
      <c r="A593" s="86"/>
      <c r="C593" s="109" t="s">
        <v>277</v>
      </c>
      <c r="D593" s="140">
        <v>3.0</v>
      </c>
      <c r="E593" s="142" t="str">
        <f>HYPERLINK("https://docs.google.com/document/d/1VH9MihtWyeCDYpoVdb7Aa2FbWdEQpQ9V80nFjmfO4WE/edit?usp=sharing","02")</f>
        <v>02</v>
      </c>
      <c r="F593" s="28"/>
      <c r="G593" s="108" t="s">
        <v>314</v>
      </c>
      <c r="H593" s="100" t="s">
        <v>315</v>
      </c>
      <c r="I593" s="105" t="s">
        <v>314</v>
      </c>
      <c r="J593" s="140" t="s">
        <v>70</v>
      </c>
      <c r="K593" s="109" t="s">
        <v>24</v>
      </c>
      <c r="L593" s="148" t="s">
        <v>340</v>
      </c>
    </row>
    <row r="594">
      <c r="A594" s="86"/>
      <c r="C594" s="86"/>
      <c r="E594" s="142" t="str">
        <f>HYPERLINK("https://docs.google.com/document/d/1CUPg0TfK0lsWwK5i96l4HMKEsNwF_XDuU3LLUtMMD5A/edit?usp=sharing","03")</f>
        <v>03</v>
      </c>
      <c r="F594" s="28"/>
      <c r="G594" s="108" t="s">
        <v>315</v>
      </c>
      <c r="H594" s="91" t="s">
        <v>315</v>
      </c>
      <c r="I594" s="105" t="s">
        <v>314</v>
      </c>
      <c r="K594" s="86"/>
      <c r="L594" s="102"/>
    </row>
    <row r="595">
      <c r="A595" s="86"/>
      <c r="C595" s="86"/>
      <c r="E595" s="142" t="str">
        <f>HYPERLINK("https://docs.google.com/document/d/1VaE3F97a5blz6UqnjiRm217HxxupuxRinAhYURlJz9c/edit?usp=sharing","07")</f>
        <v>07</v>
      </c>
      <c r="F595" s="118" t="s">
        <v>9</v>
      </c>
      <c r="G595" s="108" t="s">
        <v>315</v>
      </c>
      <c r="H595" s="104" t="s">
        <v>314</v>
      </c>
      <c r="I595" s="105" t="s">
        <v>315</v>
      </c>
      <c r="K595" s="86"/>
      <c r="L595" s="102"/>
    </row>
    <row r="596">
      <c r="A596" s="86"/>
      <c r="C596" s="83" t="s">
        <v>625</v>
      </c>
      <c r="D596" s="138">
        <v>4.0</v>
      </c>
      <c r="E596" s="149" t="str">
        <f>HYPERLINK("https://docs.google.com/document/d/1Y7gKOPi9f5vJb7wcE28LHT2EMt3KwvYti78QO094nVg/edit?usp=sharing","06")</f>
        <v>06</v>
      </c>
      <c r="F596" s="143"/>
      <c r="G596" s="90" t="s">
        <v>315</v>
      </c>
      <c r="H596" s="91" t="s">
        <v>315</v>
      </c>
      <c r="I596" s="92" t="s">
        <v>314</v>
      </c>
      <c r="J596" s="138" t="s">
        <v>51</v>
      </c>
      <c r="K596" s="83" t="s">
        <v>50</v>
      </c>
      <c r="L596" s="144" t="s">
        <v>340</v>
      </c>
    </row>
    <row r="597">
      <c r="A597" s="86"/>
      <c r="C597" s="86"/>
      <c r="E597" s="142" t="str">
        <f>HYPERLINK("https://docs.google.com/document/d/1rjmF29W2nvm2HQabrNdwXTfRrEFvrwZE3wHbhYEO80s/edit?usp=sharing","08")</f>
        <v>08</v>
      </c>
      <c r="F597" s="28"/>
      <c r="G597" s="108" t="s">
        <v>315</v>
      </c>
      <c r="H597" s="91" t="s">
        <v>314</v>
      </c>
      <c r="I597" s="105" t="s">
        <v>315</v>
      </c>
      <c r="K597" s="86"/>
      <c r="L597" s="102"/>
    </row>
    <row r="598">
      <c r="A598" s="86"/>
      <c r="C598" s="86"/>
      <c r="E598" s="142" t="str">
        <f>HYPERLINK("https://docs.google.com/document/d/1HPky1yFN3qbT-IxIKcrYo1qtIRTm8JTVll02m0Fg0Sk/edit?usp=sharing","09")</f>
        <v>09</v>
      </c>
      <c r="F598" s="28"/>
      <c r="G598" s="108" t="s">
        <v>314</v>
      </c>
      <c r="H598" s="91" t="s">
        <v>314</v>
      </c>
      <c r="I598" s="105" t="s">
        <v>315</v>
      </c>
      <c r="K598" s="86"/>
      <c r="L598" s="102"/>
    </row>
    <row r="599">
      <c r="A599" s="86"/>
      <c r="C599" s="7"/>
      <c r="D599" s="145"/>
      <c r="E599" s="146" t="str">
        <f>HYPERLINK("https://docs.google.com/document/d/16lYom6KCeYyiK9ssa7ONY_n1tFspXpWg7Emwv7Y5N1Y/edit?usp=sharing","11")</f>
        <v>11</v>
      </c>
      <c r="F599" s="147"/>
      <c r="G599" s="98" t="s">
        <v>315</v>
      </c>
      <c r="H599" s="91" t="s">
        <v>314</v>
      </c>
      <c r="I599" s="36" t="s">
        <v>315</v>
      </c>
      <c r="J599" s="145"/>
      <c r="K599" s="7"/>
      <c r="L599" s="99"/>
    </row>
    <row r="600">
      <c r="A600" s="86"/>
      <c r="C600" s="109" t="s">
        <v>626</v>
      </c>
      <c r="D600" s="140">
        <v>2.0</v>
      </c>
      <c r="E600" s="142" t="str">
        <f>HYPERLINK("https://docs.google.com/document/d/1VH9MihtWyeCDYpoVdb7Aa2FbWdEQpQ9V80nFjmfO4WE/edit?usp=sharing","02")</f>
        <v>02</v>
      </c>
      <c r="F600" s="28"/>
      <c r="G600" s="108" t="s">
        <v>315</v>
      </c>
      <c r="H600" s="100" t="s">
        <v>315</v>
      </c>
      <c r="I600" s="105" t="s">
        <v>314</v>
      </c>
      <c r="J600" s="140" t="s">
        <v>51</v>
      </c>
      <c r="K600" s="109" t="s">
        <v>50</v>
      </c>
      <c r="L600" s="141"/>
    </row>
    <row r="601">
      <c r="A601" s="7"/>
      <c r="B601" s="145"/>
      <c r="C601" s="7"/>
      <c r="D601" s="145"/>
      <c r="E601" s="146" t="str">
        <f>HYPERLINK("https://docs.google.com/document/d/1HPky1yFN3qbT-IxIKcrYo1qtIRTm8JTVll02m0Fg0Sk/edit?usp=sharing","09")</f>
        <v>09</v>
      </c>
      <c r="F601" s="147"/>
      <c r="G601" s="98" t="s">
        <v>314</v>
      </c>
      <c r="H601" s="104" t="s">
        <v>314</v>
      </c>
      <c r="I601" s="36" t="s">
        <v>315</v>
      </c>
      <c r="J601" s="145"/>
      <c r="K601" s="7"/>
      <c r="L601" s="99"/>
    </row>
    <row r="602">
      <c r="A602" s="82" t="str">
        <f>HYPERLINK("https://docs.google.com/spreadsheets/d/1EsGJrNyA7pLwFUlZ6WfOkbnPz58Cle9N9c6epQSDRVA/edit?usp=sharing","31")</f>
        <v>31</v>
      </c>
      <c r="B602" s="83">
        <v>38.0</v>
      </c>
      <c r="C602" s="121" t="s">
        <v>254</v>
      </c>
      <c r="D602" s="121">
        <v>1.0</v>
      </c>
      <c r="E602" s="139" t="str">
        <f>HYPERLINK("https://docs.google.com/document/d/1KGSGl6IovOookuip_UqvTl0YoYakxQ3JFgtvdLlNVAA/edit?usp=sharing","02")</f>
        <v>02</v>
      </c>
      <c r="F602" s="27"/>
      <c r="G602" s="103" t="s">
        <v>315</v>
      </c>
      <c r="H602" s="10" t="s">
        <v>315</v>
      </c>
      <c r="I602" s="43" t="s">
        <v>314</v>
      </c>
      <c r="J602" s="121" t="s">
        <v>103</v>
      </c>
      <c r="K602" s="121" t="s">
        <v>60</v>
      </c>
      <c r="L602" s="128"/>
    </row>
    <row r="603">
      <c r="A603" s="86"/>
      <c r="B603" s="86"/>
      <c r="C603" s="83" t="s">
        <v>627</v>
      </c>
      <c r="D603" s="83">
        <v>2.0</v>
      </c>
      <c r="E603" s="149" t="str">
        <f>HYPERLINK("https://docs.google.com/document/d/1pucQTN6QGoFh0jrnELKGqx-Zw8ubWoVfwzRFCVjmzTE/edit?usp=sharing","04")</f>
        <v>04</v>
      </c>
      <c r="F603" s="89"/>
      <c r="G603" s="100" t="s">
        <v>315</v>
      </c>
      <c r="H603" s="100" t="s">
        <v>315</v>
      </c>
      <c r="I603" s="100" t="s">
        <v>314</v>
      </c>
      <c r="J603" s="83" t="s">
        <v>112</v>
      </c>
      <c r="K603" s="83" t="s">
        <v>60</v>
      </c>
      <c r="L603" s="101" t="s">
        <v>628</v>
      </c>
    </row>
    <row r="604">
      <c r="A604" s="86"/>
      <c r="B604" s="86"/>
      <c r="C604" s="7"/>
      <c r="D604" s="7"/>
      <c r="E604" s="146" t="str">
        <f>HYPERLINK("https://docs.google.com/document/d/1ER6SNl2SR2VaZlU638bRZxbvIkIfM0oWf_ETF8a7rp4/edit?usp=sharing","06")</f>
        <v>06</v>
      </c>
      <c r="F604" s="104" t="s">
        <v>629</v>
      </c>
      <c r="G604" s="104" t="s">
        <v>314</v>
      </c>
      <c r="H604" s="104" t="s">
        <v>314</v>
      </c>
      <c r="I604" s="104" t="s">
        <v>314</v>
      </c>
      <c r="J604" s="7"/>
      <c r="K604" s="7"/>
      <c r="L604" s="7"/>
    </row>
    <row r="605">
      <c r="A605" s="86"/>
      <c r="B605" s="86"/>
      <c r="C605" s="121" t="s">
        <v>299</v>
      </c>
      <c r="D605" s="121">
        <v>1.0</v>
      </c>
      <c r="E605" s="151" t="str">
        <f t="shared" ref="E605:E606" si="25">HYPERLINK("https://docs.google.com/document/d/1D-mtMpejbQK3rMeW0VzchvxwI2vW_cJlkKQarfDcHx0/edit?usp=sharing","03")</f>
        <v>03</v>
      </c>
      <c r="F605" s="10" t="s">
        <v>630</v>
      </c>
      <c r="G605" s="10" t="s">
        <v>314</v>
      </c>
      <c r="H605" s="10" t="s">
        <v>314</v>
      </c>
      <c r="I605" s="10" t="s">
        <v>315</v>
      </c>
      <c r="J605" s="121" t="s">
        <v>111</v>
      </c>
      <c r="K605" s="121" t="s">
        <v>60</v>
      </c>
      <c r="L605" s="128"/>
    </row>
    <row r="606">
      <c r="A606" s="86"/>
      <c r="B606" s="86"/>
      <c r="C606" s="87" t="s">
        <v>229</v>
      </c>
      <c r="D606" s="83">
        <v>2.0</v>
      </c>
      <c r="E606" s="149" t="str">
        <f t="shared" si="25"/>
        <v>03</v>
      </c>
      <c r="F606" s="100" t="s">
        <v>630</v>
      </c>
      <c r="G606" s="100" t="s">
        <v>315</v>
      </c>
      <c r="H606" s="100" t="s">
        <v>315</v>
      </c>
      <c r="I606" s="100" t="s">
        <v>314</v>
      </c>
      <c r="J606" s="83" t="s">
        <v>100</v>
      </c>
      <c r="K606" s="83" t="s">
        <v>84</v>
      </c>
      <c r="L606" s="122"/>
    </row>
    <row r="607">
      <c r="A607" s="86"/>
      <c r="B607" s="86"/>
      <c r="C607" s="95"/>
      <c r="D607" s="7"/>
      <c r="E607" s="146" t="str">
        <f t="shared" ref="E607:E608" si="26">HYPERLINK("https://docs.google.com/document/d/1Zzlgg-6s2HoxkiISfdMMfudiBpaAYGbMHF8NBWcp06U/edit?usp=sharing","05")</f>
        <v>05</v>
      </c>
      <c r="F607" s="97"/>
      <c r="G607" s="104" t="s">
        <v>315</v>
      </c>
      <c r="H607" s="104" t="s">
        <v>315</v>
      </c>
      <c r="I607" s="104" t="s">
        <v>314</v>
      </c>
      <c r="J607" s="7"/>
      <c r="K607" s="7"/>
      <c r="L607" s="7"/>
    </row>
    <row r="608">
      <c r="A608" s="86"/>
      <c r="B608" s="86"/>
      <c r="C608" s="121" t="s">
        <v>164</v>
      </c>
      <c r="D608" s="121">
        <v>1.0</v>
      </c>
      <c r="E608" s="139" t="str">
        <f t="shared" si="26"/>
        <v>05</v>
      </c>
      <c r="F608" s="27"/>
      <c r="G608" s="10" t="s">
        <v>315</v>
      </c>
      <c r="H608" s="10" t="s">
        <v>315</v>
      </c>
      <c r="I608" s="10" t="s">
        <v>314</v>
      </c>
      <c r="J608" s="121" t="s">
        <v>82</v>
      </c>
      <c r="K608" s="121" t="s">
        <v>48</v>
      </c>
      <c r="L608" s="128"/>
    </row>
    <row r="609">
      <c r="A609" s="86"/>
      <c r="B609" s="86"/>
      <c r="C609" s="83" t="s">
        <v>237</v>
      </c>
      <c r="D609" s="83">
        <v>6.0</v>
      </c>
      <c r="E609" s="149" t="str">
        <f>HYPERLINK("https://docs.google.com/document/d/1D-mtMpejbQK3rMeW0VzchvxwI2vW_cJlkKQarfDcHx0/edit?usp=sharing","03")</f>
        <v>03</v>
      </c>
      <c r="F609" s="100" t="s">
        <v>630</v>
      </c>
      <c r="G609" s="100" t="s">
        <v>314</v>
      </c>
      <c r="H609" s="100" t="s">
        <v>315</v>
      </c>
      <c r="I609" s="100" t="s">
        <v>314</v>
      </c>
      <c r="J609" s="83" t="s">
        <v>69</v>
      </c>
      <c r="K609" s="83" t="s">
        <v>43</v>
      </c>
      <c r="L609" s="101" t="s">
        <v>631</v>
      </c>
    </row>
    <row r="610">
      <c r="A610" s="86"/>
      <c r="B610" s="86"/>
      <c r="C610" s="86"/>
      <c r="D610" s="86"/>
      <c r="E610" s="142" t="str">
        <f>HYPERLINK("https://docs.google.com/document/d/1pucQTN6QGoFh0jrnELKGqx-Zw8ubWoVfwzRFCVjmzTE/edit?usp=sharing","04")</f>
        <v>04</v>
      </c>
      <c r="F610" s="107"/>
      <c r="G610" s="91" t="s">
        <v>314</v>
      </c>
      <c r="H610" s="91" t="s">
        <v>315</v>
      </c>
      <c r="I610" s="91" t="s">
        <v>314</v>
      </c>
      <c r="J610" s="86"/>
      <c r="K610" s="86"/>
      <c r="L610" s="86"/>
    </row>
    <row r="611">
      <c r="A611" s="86"/>
      <c r="B611" s="86"/>
      <c r="C611" s="86"/>
      <c r="D611" s="86"/>
      <c r="E611" s="142" t="str">
        <f>HYPERLINK("https://docs.google.com/document/d/1Zzlgg-6s2HoxkiISfdMMfudiBpaAYGbMHF8NBWcp06U/edit?usp=sharing","05")</f>
        <v>05</v>
      </c>
      <c r="F611" s="107"/>
      <c r="G611" s="91" t="s">
        <v>314</v>
      </c>
      <c r="H611" s="91" t="s">
        <v>314</v>
      </c>
      <c r="I611" s="91" t="s">
        <v>315</v>
      </c>
      <c r="J611" s="86"/>
      <c r="K611" s="86"/>
      <c r="L611" s="86"/>
    </row>
    <row r="612">
      <c r="A612" s="86"/>
      <c r="B612" s="86"/>
      <c r="C612" s="86"/>
      <c r="D612" s="86"/>
      <c r="E612" s="142" t="str">
        <f>HYPERLINK("https://docs.google.com/document/d/1ER6SNl2SR2VaZlU638bRZxbvIkIfM0oWf_ETF8a7rp4/edit?usp=sharing","06")</f>
        <v>06</v>
      </c>
      <c r="F612" s="91" t="s">
        <v>632</v>
      </c>
      <c r="G612" s="91" t="s">
        <v>315</v>
      </c>
      <c r="H612" s="91" t="s">
        <v>314</v>
      </c>
      <c r="I612" s="91" t="s">
        <v>315</v>
      </c>
      <c r="J612" s="86"/>
      <c r="K612" s="86"/>
      <c r="L612" s="86"/>
    </row>
    <row r="613">
      <c r="A613" s="86"/>
      <c r="B613" s="86"/>
      <c r="C613" s="86"/>
      <c r="D613" s="86"/>
      <c r="E613" s="142" t="str">
        <f>HYPERLINK("https://docs.google.com/document/d/1yabrbmcltYDEwRGlzey3VI1cLZuWclOdx3BeEnTiB50/edit?usp=sharing","07")</f>
        <v>07</v>
      </c>
      <c r="F613" s="91" t="s">
        <v>9</v>
      </c>
      <c r="G613" s="91" t="s">
        <v>315</v>
      </c>
      <c r="H613" s="91" t="s">
        <v>314</v>
      </c>
      <c r="I613" s="91" t="s">
        <v>315</v>
      </c>
      <c r="J613" s="86"/>
      <c r="K613" s="86"/>
      <c r="L613" s="86"/>
    </row>
    <row r="614">
      <c r="A614" s="86"/>
      <c r="B614" s="86"/>
      <c r="C614" s="7"/>
      <c r="D614" s="7"/>
      <c r="E614" s="146" t="str">
        <f>HYPERLINK("https://docs.google.com/document/d/1WoN3BBAzBTPpqOtk_5X4roomJOau0tSnHULFtrAo7LE/edit?usp=sharing","08")</f>
        <v>08</v>
      </c>
      <c r="F614" s="97"/>
      <c r="G614" s="104" t="s">
        <v>315</v>
      </c>
      <c r="H614" s="104" t="s">
        <v>314</v>
      </c>
      <c r="I614" s="104" t="s">
        <v>315</v>
      </c>
      <c r="J614" s="7"/>
      <c r="K614" s="7"/>
      <c r="L614" s="7"/>
    </row>
    <row r="615">
      <c r="A615" s="86"/>
      <c r="B615" s="86"/>
      <c r="C615" s="83" t="s">
        <v>182</v>
      </c>
      <c r="D615" s="83">
        <v>3.0</v>
      </c>
      <c r="E615" s="149" t="str">
        <f>HYPERLINK("https://docs.google.com/document/d/1KGSGl6IovOookuip_UqvTl0YoYakxQ3JFgtvdLlNVAA/edit?usp=sharing","02")</f>
        <v>02</v>
      </c>
      <c r="F615" s="89"/>
      <c r="G615" s="100" t="s">
        <v>315</v>
      </c>
      <c r="H615" s="100" t="s">
        <v>315</v>
      </c>
      <c r="I615" s="100" t="s">
        <v>314</v>
      </c>
      <c r="J615" s="83" t="s">
        <v>86</v>
      </c>
      <c r="K615" s="83" t="s">
        <v>58</v>
      </c>
      <c r="L615" s="101" t="s">
        <v>340</v>
      </c>
    </row>
    <row r="616">
      <c r="A616" s="86"/>
      <c r="B616" s="86"/>
      <c r="C616" s="86"/>
      <c r="D616" s="86"/>
      <c r="E616" s="142" t="str">
        <f>HYPERLINK("https://docs.google.com/document/d/1pucQTN6QGoFh0jrnELKGqx-Zw8ubWoVfwzRFCVjmzTE/edit?usp=sharing","04")</f>
        <v>04</v>
      </c>
      <c r="F616" s="107"/>
      <c r="G616" s="91" t="s">
        <v>315</v>
      </c>
      <c r="H616" s="91" t="s">
        <v>315</v>
      </c>
      <c r="I616" s="91" t="s">
        <v>314</v>
      </c>
      <c r="J616" s="86"/>
      <c r="K616" s="86"/>
      <c r="L616" s="86"/>
    </row>
    <row r="617">
      <c r="A617" s="86"/>
      <c r="B617" s="86"/>
      <c r="C617" s="7"/>
      <c r="D617" s="7"/>
      <c r="E617" s="146" t="str">
        <f>HYPERLINK("https://docs.google.com/document/d/1Zzlgg-6s2HoxkiISfdMMfudiBpaAYGbMHF8NBWcp06U/edit?usp=sharing","05")</f>
        <v>05</v>
      </c>
      <c r="F617" s="97"/>
      <c r="G617" s="104" t="s">
        <v>315</v>
      </c>
      <c r="H617" s="104" t="s">
        <v>315</v>
      </c>
      <c r="I617" s="104" t="s">
        <v>314</v>
      </c>
      <c r="J617" s="7"/>
      <c r="K617" s="7"/>
      <c r="L617" s="7"/>
    </row>
    <row r="618">
      <c r="A618" s="86"/>
      <c r="B618" s="86"/>
      <c r="C618" s="121" t="s">
        <v>280</v>
      </c>
      <c r="D618" s="121">
        <v>1.0</v>
      </c>
      <c r="E618" s="139" t="str">
        <f t="shared" ref="E618:E619" si="27">HYPERLINK("https://docs.google.com/document/d/1pucQTN6QGoFh0jrnELKGqx-Zw8ubWoVfwzRFCVjmzTE/edit?usp=sharing","04")</f>
        <v>04</v>
      </c>
      <c r="F618" s="27"/>
      <c r="G618" s="10" t="s">
        <v>314</v>
      </c>
      <c r="H618" s="10" t="s">
        <v>315</v>
      </c>
      <c r="I618" s="10" t="s">
        <v>314</v>
      </c>
      <c r="J618" s="121" t="s">
        <v>63</v>
      </c>
      <c r="K618" s="121" t="s">
        <v>46</v>
      </c>
      <c r="L618" s="128"/>
    </row>
    <row r="619">
      <c r="A619" s="86"/>
      <c r="B619" s="86"/>
      <c r="C619" s="121" t="s">
        <v>222</v>
      </c>
      <c r="D619" s="121">
        <v>1.0</v>
      </c>
      <c r="E619" s="139" t="str">
        <f t="shared" si="27"/>
        <v>04</v>
      </c>
      <c r="F619" s="27"/>
      <c r="G619" s="10" t="s">
        <v>315</v>
      </c>
      <c r="H619" s="10" t="s">
        <v>315</v>
      </c>
      <c r="I619" s="10" t="s">
        <v>314</v>
      </c>
      <c r="J619" s="121" t="s">
        <v>71</v>
      </c>
      <c r="K619" s="121" t="s">
        <v>37</v>
      </c>
      <c r="L619" s="128"/>
    </row>
    <row r="620">
      <c r="A620" s="86"/>
      <c r="B620" s="86"/>
      <c r="C620" s="83" t="s">
        <v>152</v>
      </c>
      <c r="D620" s="83">
        <v>3.0</v>
      </c>
      <c r="E620" s="149" t="str">
        <f>HYPERLINK("https://docs.google.com/document/d/1ER6SNl2SR2VaZlU638bRZxbvIkIfM0oWf_ETF8a7rp4/edit?usp=sharing","06")</f>
        <v>06</v>
      </c>
      <c r="F620" s="100" t="s">
        <v>632</v>
      </c>
      <c r="G620" s="100" t="s">
        <v>315</v>
      </c>
      <c r="H620" s="100" t="s">
        <v>314</v>
      </c>
      <c r="I620" s="100" t="s">
        <v>315</v>
      </c>
      <c r="J620" s="83" t="s">
        <v>44</v>
      </c>
      <c r="K620" s="83" t="s">
        <v>24</v>
      </c>
      <c r="L620" s="101" t="s">
        <v>364</v>
      </c>
    </row>
    <row r="621">
      <c r="A621" s="86"/>
      <c r="B621" s="86"/>
      <c r="C621" s="86"/>
      <c r="D621" s="86"/>
      <c r="E621" s="142" t="str">
        <f>HYPERLINK("https://docs.google.com/document/d/1yabrbmcltYDEwRGlzey3VI1cLZuWclOdx3BeEnTiB50/edit?usp=sharing","07")</f>
        <v>07</v>
      </c>
      <c r="F621" s="91" t="s">
        <v>9</v>
      </c>
      <c r="G621" s="91" t="s">
        <v>315</v>
      </c>
      <c r="H621" s="91" t="s">
        <v>314</v>
      </c>
      <c r="I621" s="91" t="s">
        <v>315</v>
      </c>
      <c r="J621" s="86"/>
      <c r="K621" s="86"/>
      <c r="L621" s="86"/>
    </row>
    <row r="622">
      <c r="A622" s="86"/>
      <c r="B622" s="86"/>
      <c r="C622" s="7"/>
      <c r="D622" s="7"/>
      <c r="E622" s="146" t="str">
        <f>HYPERLINK("https://docs.google.com/document/d/1WoN3BBAzBTPpqOtk_5X4roomJOau0tSnHULFtrAo7LE/edit?usp=sharing","08")</f>
        <v>08</v>
      </c>
      <c r="F622" s="97"/>
      <c r="G622" s="104" t="s">
        <v>314</v>
      </c>
      <c r="H622" s="104" t="s">
        <v>314</v>
      </c>
      <c r="I622" s="104" t="s">
        <v>315</v>
      </c>
      <c r="J622" s="7"/>
      <c r="K622" s="7"/>
      <c r="L622" s="7"/>
    </row>
    <row r="623">
      <c r="A623" s="86"/>
      <c r="B623" s="86"/>
      <c r="C623" s="83" t="s">
        <v>241</v>
      </c>
      <c r="D623" s="83">
        <v>7.0</v>
      </c>
      <c r="E623" s="149" t="str">
        <f>HYPERLINK("https://docs.google.com/document/d/1KGSGl6IovOookuip_UqvTl0YoYakxQ3JFgtvdLlNVAA/edit?usp=sharing","02")</f>
        <v>02</v>
      </c>
      <c r="F623" s="89"/>
      <c r="G623" s="100" t="s">
        <v>315</v>
      </c>
      <c r="H623" s="100" t="s">
        <v>315</v>
      </c>
      <c r="I623" s="100" t="s">
        <v>314</v>
      </c>
      <c r="J623" s="83" t="s">
        <v>65</v>
      </c>
      <c r="K623" s="83" t="s">
        <v>40</v>
      </c>
      <c r="L623" s="101" t="s">
        <v>633</v>
      </c>
    </row>
    <row r="624">
      <c r="A624" s="86"/>
      <c r="B624" s="86"/>
      <c r="C624" s="86"/>
      <c r="D624" s="86"/>
      <c r="E624" s="152" t="str">
        <f>HYPERLINK("https://docs.google.com/document/d/1D-mtMpejbQK3rMeW0VzchvxwI2vW_cJlkKQarfDcHx0/edit?usp=sharing","03")</f>
        <v>03</v>
      </c>
      <c r="F624" s="91" t="s">
        <v>630</v>
      </c>
      <c r="G624" s="105" t="s">
        <v>314</v>
      </c>
      <c r="H624" s="91" t="s">
        <v>315</v>
      </c>
      <c r="I624" s="91" t="s">
        <v>314</v>
      </c>
      <c r="J624" s="86"/>
      <c r="K624" s="86"/>
      <c r="L624" s="86"/>
    </row>
    <row r="625">
      <c r="A625" s="86"/>
      <c r="B625" s="86"/>
      <c r="C625" s="86"/>
      <c r="D625" s="86"/>
      <c r="E625" s="142" t="str">
        <f>HYPERLINK("https://docs.google.com/document/d/1pucQTN6QGoFh0jrnELKGqx-Zw8ubWoVfwzRFCVjmzTE/edit?usp=sharing","04")</f>
        <v>04</v>
      </c>
      <c r="F625" s="107"/>
      <c r="G625" s="91" t="s">
        <v>314</v>
      </c>
      <c r="H625" s="91" t="s">
        <v>315</v>
      </c>
      <c r="I625" s="91" t="s">
        <v>314</v>
      </c>
      <c r="J625" s="86"/>
      <c r="K625" s="86"/>
      <c r="L625" s="86"/>
    </row>
    <row r="626">
      <c r="A626" s="86"/>
      <c r="B626" s="86"/>
      <c r="C626" s="86"/>
      <c r="D626" s="86"/>
      <c r="E626" s="152" t="str">
        <f>HYPERLINK("https://docs.google.com/document/d/1ER6SNl2SR2VaZlU638bRZxbvIkIfM0oWf_ETF8a7rp4/edit?usp=sharing","06")</f>
        <v>06</v>
      </c>
      <c r="F626" s="91" t="s">
        <v>632</v>
      </c>
      <c r="G626" s="105" t="s">
        <v>314</v>
      </c>
      <c r="H626" s="91" t="s">
        <v>315</v>
      </c>
      <c r="I626" s="91" t="s">
        <v>314</v>
      </c>
      <c r="J626" s="86"/>
      <c r="K626" s="86"/>
      <c r="L626" s="86"/>
    </row>
    <row r="627">
      <c r="A627" s="86"/>
      <c r="B627" s="86"/>
      <c r="C627" s="86"/>
      <c r="D627" s="86"/>
      <c r="E627" s="142" t="str">
        <f>HYPERLINK("https://docs.google.com/document/d/1yabrbmcltYDEwRGlzey3VI1cLZuWclOdx3BeEnTiB50/edit?usp=sharing","07")</f>
        <v>07</v>
      </c>
      <c r="F627" s="91" t="s">
        <v>9</v>
      </c>
      <c r="G627" s="91" t="s">
        <v>315</v>
      </c>
      <c r="H627" s="91" t="s">
        <v>314</v>
      </c>
      <c r="I627" s="91" t="s">
        <v>315</v>
      </c>
      <c r="J627" s="86"/>
      <c r="K627" s="86"/>
      <c r="L627" s="86"/>
    </row>
    <row r="628">
      <c r="A628" s="86"/>
      <c r="B628" s="86"/>
      <c r="C628" s="86"/>
      <c r="D628" s="86"/>
      <c r="E628" s="142" t="str">
        <f>HYPERLINK("https://docs.google.com/document/d/1TV18kHUje_eS-z4yyiaOwMjBKSSZ48YjHb_F5gED-Hc/edit?usp=sharing","11")</f>
        <v>11</v>
      </c>
      <c r="F628" s="107"/>
      <c r="G628" s="91" t="s">
        <v>314</v>
      </c>
      <c r="H628" s="91" t="s">
        <v>314</v>
      </c>
      <c r="I628" s="91" t="s">
        <v>315</v>
      </c>
      <c r="J628" s="86"/>
      <c r="K628" s="86"/>
      <c r="L628" s="86"/>
    </row>
    <row r="629">
      <c r="A629" s="86"/>
      <c r="B629" s="86"/>
      <c r="C629" s="7"/>
      <c r="D629" s="7"/>
      <c r="E629" s="146" t="str">
        <f>HYPERLINK("https://docs.google.com/document/d/1huAhW1jIqUolNt9E9c9GQkOch9w0gL8K7xyKTuVWWvU/edit?usp=sharing","13")</f>
        <v>13</v>
      </c>
      <c r="F629" s="97"/>
      <c r="G629" s="104" t="s">
        <v>314</v>
      </c>
      <c r="H629" s="104" t="s">
        <v>314</v>
      </c>
      <c r="I629" s="104" t="s">
        <v>315</v>
      </c>
      <c r="J629" s="86"/>
      <c r="K629" s="86"/>
      <c r="L629" s="86"/>
    </row>
    <row r="630">
      <c r="A630" s="86"/>
      <c r="B630" s="86"/>
      <c r="C630" s="83" t="s">
        <v>234</v>
      </c>
      <c r="D630" s="83">
        <v>6.0</v>
      </c>
      <c r="E630" s="149" t="str">
        <f>HYPERLINK("https://docs.google.com/document/d/1KGSGl6IovOookuip_UqvTl0YoYakxQ3JFgtvdLlNVAA/edit?usp=sharing","02")</f>
        <v>02</v>
      </c>
      <c r="F630" s="89"/>
      <c r="G630" s="100" t="s">
        <v>315</v>
      </c>
      <c r="H630" s="100" t="s">
        <v>315</v>
      </c>
      <c r="I630" s="100" t="s">
        <v>314</v>
      </c>
      <c r="J630" s="83" t="s">
        <v>67</v>
      </c>
      <c r="K630" s="83" t="s">
        <v>45</v>
      </c>
      <c r="L630" s="101" t="s">
        <v>364</v>
      </c>
    </row>
    <row r="631">
      <c r="A631" s="86"/>
      <c r="B631" s="86"/>
      <c r="C631" s="86"/>
      <c r="D631" s="86"/>
      <c r="E631" s="152" t="str">
        <f>HYPERLINK("https://docs.google.com/document/d/1D-mtMpejbQK3rMeW0VzchvxwI2vW_cJlkKQarfDcHx0/edit?usp=sharing","03")</f>
        <v>03</v>
      </c>
      <c r="F631" s="91" t="s">
        <v>630</v>
      </c>
      <c r="G631" s="105" t="s">
        <v>314</v>
      </c>
      <c r="H631" s="91" t="s">
        <v>315</v>
      </c>
      <c r="I631" s="91" t="s">
        <v>314</v>
      </c>
      <c r="J631" s="86"/>
      <c r="K631" s="86"/>
      <c r="L631" s="86"/>
    </row>
    <row r="632">
      <c r="A632" s="86"/>
      <c r="B632" s="86"/>
      <c r="C632" s="86"/>
      <c r="D632" s="86"/>
      <c r="E632" s="142" t="str">
        <f>HYPERLINK("https://docs.google.com/document/d/1pucQTN6QGoFh0jrnELKGqx-Zw8ubWoVfwzRFCVjmzTE/edit?usp=sharing","04")</f>
        <v>04</v>
      </c>
      <c r="F632" s="107"/>
      <c r="G632" s="91" t="s">
        <v>315</v>
      </c>
      <c r="H632" s="91" t="s">
        <v>315</v>
      </c>
      <c r="I632" s="91" t="s">
        <v>314</v>
      </c>
      <c r="J632" s="86"/>
      <c r="K632" s="86"/>
      <c r="L632" s="86"/>
    </row>
    <row r="633">
      <c r="A633" s="86"/>
      <c r="B633" s="86"/>
      <c r="C633" s="86"/>
      <c r="D633" s="86"/>
      <c r="E633" s="152" t="str">
        <f>HYPERLINK("https://docs.google.com/document/d/1ER6SNl2SR2VaZlU638bRZxbvIkIfM0oWf_ETF8a7rp4/edit?usp=sharing","06")</f>
        <v>06</v>
      </c>
      <c r="F633" s="91" t="s">
        <v>632</v>
      </c>
      <c r="G633" s="105" t="s">
        <v>314</v>
      </c>
      <c r="H633" s="91" t="s">
        <v>315</v>
      </c>
      <c r="I633" s="91" t="s">
        <v>314</v>
      </c>
      <c r="J633" s="86"/>
      <c r="K633" s="86"/>
      <c r="L633" s="86"/>
    </row>
    <row r="634">
      <c r="A634" s="86"/>
      <c r="B634" s="86"/>
      <c r="C634" s="86"/>
      <c r="D634" s="86"/>
      <c r="E634" s="142" t="str">
        <f>HYPERLINK("https://docs.google.com/document/d/1SIK7IzuXRPebP8-rxSQ2ScMdsN0bL64L6KHsFCmssmo/edit?usp=sharing","09")</f>
        <v>09</v>
      </c>
      <c r="F634" s="107"/>
      <c r="G634" s="91" t="s">
        <v>314</v>
      </c>
      <c r="H634" s="91" t="s">
        <v>314</v>
      </c>
      <c r="I634" s="91" t="s">
        <v>315</v>
      </c>
      <c r="J634" s="86"/>
      <c r="K634" s="86"/>
      <c r="L634" s="86"/>
    </row>
    <row r="635">
      <c r="A635" s="86"/>
      <c r="B635" s="86"/>
      <c r="C635" s="7"/>
      <c r="D635" s="7"/>
      <c r="E635" s="146" t="str">
        <f>HYPERLINK("https://docs.google.com/document/d/1TV18kHUje_eS-z4yyiaOwMjBKSSZ48YjHb_F5gED-Hc/edit?usp=sharing","11")</f>
        <v>11</v>
      </c>
      <c r="F635" s="97"/>
      <c r="G635" s="104" t="s">
        <v>314</v>
      </c>
      <c r="H635" s="104" t="s">
        <v>314</v>
      </c>
      <c r="I635" s="104" t="s">
        <v>315</v>
      </c>
      <c r="J635" s="86"/>
      <c r="K635" s="86"/>
      <c r="L635" s="86"/>
    </row>
    <row r="636">
      <c r="A636" s="86"/>
      <c r="B636" s="86"/>
      <c r="C636" s="83" t="s">
        <v>285</v>
      </c>
      <c r="D636" s="83">
        <v>4.0</v>
      </c>
      <c r="E636" s="149" t="str">
        <f>HYPERLINK("https://docs.google.com/document/d/1KGSGl6IovOookuip_UqvTl0YoYakxQ3JFgtvdLlNVAA/edit?usp=sharing","02")</f>
        <v>02</v>
      </c>
      <c r="F636" s="89"/>
      <c r="G636" s="100" t="s">
        <v>315</v>
      </c>
      <c r="H636" s="100" t="s">
        <v>315</v>
      </c>
      <c r="I636" s="100" t="s">
        <v>314</v>
      </c>
      <c r="J636" s="83" t="s">
        <v>53</v>
      </c>
      <c r="K636" s="83" t="s">
        <v>50</v>
      </c>
      <c r="L636" s="122"/>
    </row>
    <row r="637">
      <c r="A637" s="86"/>
      <c r="B637" s="86"/>
      <c r="C637" s="86"/>
      <c r="D637" s="86"/>
      <c r="E637" s="152" t="str">
        <f>HYPERLINK("https://docs.google.com/document/d/1ER6SNl2SR2VaZlU638bRZxbvIkIfM0oWf_ETF8a7rp4/edit?usp=sharing","06")</f>
        <v>06</v>
      </c>
      <c r="F637" s="91" t="s">
        <v>632</v>
      </c>
      <c r="G637" s="105" t="s">
        <v>314</v>
      </c>
      <c r="H637" s="91" t="s">
        <v>315</v>
      </c>
      <c r="I637" s="91" t="s">
        <v>314</v>
      </c>
      <c r="J637" s="86"/>
      <c r="K637" s="86"/>
      <c r="L637" s="86"/>
    </row>
    <row r="638">
      <c r="A638" s="86"/>
      <c r="B638" s="86"/>
      <c r="C638" s="86"/>
      <c r="D638" s="86"/>
      <c r="E638" s="142" t="str">
        <f>HYPERLINK("https://docs.google.com/document/d/1WoN3BBAzBTPpqOtk_5X4roomJOau0tSnHULFtrAo7LE/edit?usp=sharing","08")</f>
        <v>08</v>
      </c>
      <c r="F638" s="107"/>
      <c r="G638" s="91" t="s">
        <v>314</v>
      </c>
      <c r="H638" s="91" t="s">
        <v>314</v>
      </c>
      <c r="I638" s="91" t="s">
        <v>315</v>
      </c>
      <c r="J638" s="86"/>
      <c r="K638" s="86"/>
      <c r="L638" s="86"/>
    </row>
    <row r="639">
      <c r="A639" s="7"/>
      <c r="B639" s="7"/>
      <c r="C639" s="7"/>
      <c r="D639" s="7"/>
      <c r="E639" s="146" t="str">
        <f>HYPERLINK("https://docs.google.com/document/d/1TV18kHUje_eS-z4yyiaOwMjBKSSZ48YjHb_F5gED-Hc/edit?usp=sharing","11")</f>
        <v>11</v>
      </c>
      <c r="F639" s="97"/>
      <c r="G639" s="104" t="s">
        <v>315</v>
      </c>
      <c r="H639" s="104" t="s">
        <v>314</v>
      </c>
      <c r="I639" s="104" t="s">
        <v>315</v>
      </c>
      <c r="J639" s="7"/>
      <c r="K639" s="7"/>
      <c r="L639" s="7"/>
    </row>
    <row r="640">
      <c r="A640" s="82" t="str">
        <f>HYPERLINK("https://docs.google.com/spreadsheets/d/1t379i2CYDM1ZVdZZy_Nj2m3ht6Sp4J68-xZ2v4-PIMo/edit?usp=sharing","32")</f>
        <v>32</v>
      </c>
      <c r="B640" s="83">
        <v>22.0</v>
      </c>
      <c r="C640" s="121" t="s">
        <v>179</v>
      </c>
      <c r="D640" s="121">
        <v>1.0</v>
      </c>
      <c r="E640" s="84" t="str">
        <f>HYPERLINK("https://docs.google.com/document/d/1XSbQTlNwOgFWy9RrJOszuKeWvWkFFs0ec_-vz9DFDzs/edit?usp=sharing","04")</f>
        <v>04</v>
      </c>
      <c r="F640" s="10" t="s">
        <v>579</v>
      </c>
      <c r="G640" s="10" t="s">
        <v>315</v>
      </c>
      <c r="H640" s="10" t="s">
        <v>314</v>
      </c>
      <c r="I640" s="10" t="s">
        <v>314</v>
      </c>
      <c r="J640" s="121" t="s">
        <v>113</v>
      </c>
      <c r="K640" s="121" t="s">
        <v>60</v>
      </c>
      <c r="L640" s="136" t="s">
        <v>579</v>
      </c>
    </row>
    <row r="641">
      <c r="A641" s="86"/>
      <c r="B641" s="86"/>
      <c r="C641" s="83" t="s">
        <v>634</v>
      </c>
      <c r="D641" s="83">
        <v>2.0</v>
      </c>
      <c r="E641" s="88" t="str">
        <f>HYPERLINK("https://docs.google.com/document/d/1_evqeqY2-jgVrEAkmyu9xMWRSOa4TG5ZhNQdPWUrIgw/edit?usp=sharing","02")</f>
        <v>02</v>
      </c>
      <c r="F641" s="89"/>
      <c r="G641" s="100" t="s">
        <v>315</v>
      </c>
      <c r="H641" s="100" t="s">
        <v>315</v>
      </c>
      <c r="I641" s="100" t="s">
        <v>314</v>
      </c>
      <c r="J641" s="83" t="s">
        <v>91</v>
      </c>
      <c r="K641" s="83" t="s">
        <v>60</v>
      </c>
      <c r="L641" s="122"/>
    </row>
    <row r="642">
      <c r="A642" s="86"/>
      <c r="B642" s="86"/>
      <c r="C642" s="7"/>
      <c r="D642" s="7"/>
      <c r="E642" s="96" t="str">
        <f t="shared" ref="E642:E643" si="28">HYPERLINK("https://docs.google.com/document/d/1XSbQTlNwOgFWy9RrJOszuKeWvWkFFs0ec_-vz9DFDzs/edit?usp=sharing","04")</f>
        <v>04</v>
      </c>
      <c r="F642" s="104" t="s">
        <v>635</v>
      </c>
      <c r="G642" s="104" t="s">
        <v>315</v>
      </c>
      <c r="H642" s="104" t="s">
        <v>315</v>
      </c>
      <c r="I642" s="104" t="s">
        <v>314</v>
      </c>
      <c r="J642" s="7"/>
      <c r="K642" s="7"/>
      <c r="L642" s="7"/>
    </row>
    <row r="643">
      <c r="A643" s="86"/>
      <c r="B643" s="86"/>
      <c r="C643" s="83" t="s">
        <v>636</v>
      </c>
      <c r="D643" s="83">
        <v>2.0</v>
      </c>
      <c r="E643" s="88" t="str">
        <f t="shared" si="28"/>
        <v>04</v>
      </c>
      <c r="F643" s="100" t="s">
        <v>635</v>
      </c>
      <c r="G643" s="100" t="s">
        <v>315</v>
      </c>
      <c r="H643" s="100" t="s">
        <v>315</v>
      </c>
      <c r="I643" s="100" t="s">
        <v>314</v>
      </c>
      <c r="J643" s="83" t="s">
        <v>85</v>
      </c>
      <c r="K643" s="83" t="s">
        <v>84</v>
      </c>
      <c r="L643" s="101" t="s">
        <v>579</v>
      </c>
    </row>
    <row r="644">
      <c r="A644" s="86"/>
      <c r="B644" s="86"/>
      <c r="C644" s="7"/>
      <c r="D644" s="7"/>
      <c r="E644" s="96" t="str">
        <f>HYPERLINK("https://docs.google.com/document/d/1oAfygiiSEgQ1riInbpaDsP9cFUzdfb80uO_AdyUx-Oo/edit?usp=sharing","06")</f>
        <v>06</v>
      </c>
      <c r="F644" s="104"/>
      <c r="G644" s="104" t="s">
        <v>314</v>
      </c>
      <c r="H644" s="104" t="s">
        <v>315</v>
      </c>
      <c r="I644" s="104" t="s">
        <v>314</v>
      </c>
      <c r="J644" s="7"/>
      <c r="K644" s="7"/>
      <c r="L644" s="7"/>
    </row>
    <row r="645">
      <c r="A645" s="86"/>
      <c r="B645" s="86"/>
      <c r="C645" s="83" t="s">
        <v>637</v>
      </c>
      <c r="D645" s="83">
        <v>2.0</v>
      </c>
      <c r="E645" s="88" t="str">
        <f>HYPERLINK("https://docs.google.com/document/d/1_evqeqY2-jgVrEAkmyu9xMWRSOa4TG5ZhNQdPWUrIgw/edit?usp=sharing","02")</f>
        <v>02</v>
      </c>
      <c r="F645" s="89"/>
      <c r="G645" s="100" t="s">
        <v>315</v>
      </c>
      <c r="H645" s="100" t="s">
        <v>315</v>
      </c>
      <c r="I645" s="100" t="s">
        <v>314</v>
      </c>
      <c r="J645" s="83" t="s">
        <v>68</v>
      </c>
      <c r="K645" s="83" t="s">
        <v>48</v>
      </c>
      <c r="L645" s="122"/>
    </row>
    <row r="646">
      <c r="A646" s="86"/>
      <c r="B646" s="86"/>
      <c r="C646" s="7"/>
      <c r="D646" s="7"/>
      <c r="E646" s="96" t="str">
        <f t="shared" ref="E646:E647" si="29">HYPERLINK("https://docs.google.com/document/d/1XSbQTlNwOgFWy9RrJOszuKeWvWkFFs0ec_-vz9DFDzs/edit?usp=sharing","04")</f>
        <v>04</v>
      </c>
      <c r="F646" s="104" t="s">
        <v>635</v>
      </c>
      <c r="G646" s="104" t="s">
        <v>315</v>
      </c>
      <c r="H646" s="104" t="s">
        <v>315</v>
      </c>
      <c r="I646" s="104" t="s">
        <v>314</v>
      </c>
      <c r="J646" s="7"/>
      <c r="K646" s="7"/>
      <c r="L646" s="7"/>
    </row>
    <row r="647">
      <c r="A647" s="86"/>
      <c r="B647" s="86"/>
      <c r="C647" s="121" t="s">
        <v>638</v>
      </c>
      <c r="D647" s="121">
        <v>1.0</v>
      </c>
      <c r="E647" s="84" t="str">
        <f t="shared" si="29"/>
        <v>04</v>
      </c>
      <c r="F647" s="10" t="s">
        <v>635</v>
      </c>
      <c r="G647" s="10" t="s">
        <v>314</v>
      </c>
      <c r="H647" s="10" t="s">
        <v>314</v>
      </c>
      <c r="I647" s="10" t="s">
        <v>314</v>
      </c>
      <c r="J647" s="121" t="s">
        <v>47</v>
      </c>
      <c r="K647" s="121" t="s">
        <v>58</v>
      </c>
      <c r="L647" s="128"/>
    </row>
    <row r="648">
      <c r="A648" s="86"/>
      <c r="B648" s="86"/>
      <c r="C648" s="83" t="s">
        <v>639</v>
      </c>
      <c r="D648" s="83">
        <v>3.0</v>
      </c>
      <c r="E648" s="149" t="str">
        <f>HYPERLINK("https://docs.google.com/document/d/1hgp8Zyp6iOw4N0fw95k-5IgCAHXZIK2kJ7ZAgKY2OKA/edit?usp=sharing","03")</f>
        <v>03</v>
      </c>
      <c r="F648" s="89"/>
      <c r="G648" s="100" t="s">
        <v>315</v>
      </c>
      <c r="H648" s="100" t="s">
        <v>315</v>
      </c>
      <c r="I648" s="100" t="s">
        <v>314</v>
      </c>
      <c r="J648" s="83" t="s">
        <v>66</v>
      </c>
      <c r="K648" s="83" t="s">
        <v>46</v>
      </c>
      <c r="L648" s="101" t="s">
        <v>340</v>
      </c>
    </row>
    <row r="649">
      <c r="A649" s="86"/>
      <c r="B649" s="86"/>
      <c r="C649" s="86"/>
      <c r="D649" s="86"/>
      <c r="E649" s="106" t="str">
        <f>HYPERLINK("https://docs.google.com/document/d/1XSbQTlNwOgFWy9RrJOszuKeWvWkFFs0ec_-vz9DFDzs/edit?usp=sharing","04")</f>
        <v>04</v>
      </c>
      <c r="F649" s="91" t="s">
        <v>635</v>
      </c>
      <c r="G649" s="91" t="s">
        <v>315</v>
      </c>
      <c r="H649" s="91" t="s">
        <v>315</v>
      </c>
      <c r="I649" s="91" t="s">
        <v>314</v>
      </c>
      <c r="J649" s="86"/>
      <c r="K649" s="86"/>
      <c r="L649" s="86"/>
    </row>
    <row r="650">
      <c r="A650" s="86"/>
      <c r="B650" s="86"/>
      <c r="C650" s="7"/>
      <c r="D650" s="7"/>
      <c r="E650" s="96" t="str">
        <f>HYPERLINK("https://docs.google.com/document/d/18Lfn7JfMJX4oYGNxN_s7kK_l9sUPyF-3WMmHg6cRw4I/edit?usp=sharing","07")</f>
        <v>07</v>
      </c>
      <c r="F650" s="104" t="s">
        <v>640</v>
      </c>
      <c r="G650" s="104" t="s">
        <v>315</v>
      </c>
      <c r="H650" s="104" t="s">
        <v>314</v>
      </c>
      <c r="I650" s="104" t="s">
        <v>334</v>
      </c>
      <c r="J650" s="7"/>
      <c r="K650" s="7"/>
      <c r="L650" s="7"/>
    </row>
    <row r="651">
      <c r="A651" s="86"/>
      <c r="B651" s="86"/>
      <c r="C651" s="121" t="s">
        <v>641</v>
      </c>
      <c r="D651" s="121">
        <v>1.0</v>
      </c>
      <c r="E651" s="84" t="str">
        <f>HYPERLINK("https://docs.google.com/document/d/1oAfygiiSEgQ1riInbpaDsP9cFUzdfb80uO_AdyUx-Oo/edit?usp=sharing","06")</f>
        <v>06</v>
      </c>
      <c r="F651" s="27"/>
      <c r="G651" s="10" t="s">
        <v>314</v>
      </c>
      <c r="H651" s="10" t="s">
        <v>315</v>
      </c>
      <c r="I651" s="10" t="s">
        <v>314</v>
      </c>
      <c r="J651" s="121" t="s">
        <v>56</v>
      </c>
      <c r="K651" s="121" t="s">
        <v>37</v>
      </c>
      <c r="L651" s="128"/>
    </row>
    <row r="652">
      <c r="A652" s="86"/>
      <c r="B652" s="86"/>
      <c r="C652" s="83" t="s">
        <v>642</v>
      </c>
      <c r="D652" s="83">
        <v>5.0</v>
      </c>
      <c r="E652" s="149" t="str">
        <f>HYPERLINK("https://docs.google.com/document/d/1hgp8Zyp6iOw4N0fw95k-5IgCAHXZIK2kJ7ZAgKY2OKA/edit?usp=sharing","03")</f>
        <v>03</v>
      </c>
      <c r="F652" s="89"/>
      <c r="G652" s="100" t="s">
        <v>314</v>
      </c>
      <c r="H652" s="100" t="s">
        <v>314</v>
      </c>
      <c r="I652" s="100" t="s">
        <v>315</v>
      </c>
      <c r="J652" s="83" t="s">
        <v>70</v>
      </c>
      <c r="K652" s="83" t="s">
        <v>24</v>
      </c>
      <c r="L652" s="101" t="s">
        <v>633</v>
      </c>
    </row>
    <row r="653">
      <c r="A653" s="86"/>
      <c r="B653" s="86"/>
      <c r="C653" s="86"/>
      <c r="D653" s="86"/>
      <c r="E653" s="106" t="str">
        <f>HYPERLINK("https://docs.google.com/document/d/1XSbQTlNwOgFWy9RrJOszuKeWvWkFFs0ec_-vz9DFDzs/edit?usp=sharing","04")</f>
        <v>04</v>
      </c>
      <c r="F653" s="91" t="s">
        <v>635</v>
      </c>
      <c r="G653" s="91" t="s">
        <v>315</v>
      </c>
      <c r="H653" s="91" t="s">
        <v>315</v>
      </c>
      <c r="I653" s="91" t="s">
        <v>314</v>
      </c>
      <c r="J653" s="86"/>
      <c r="K653" s="86"/>
      <c r="L653" s="86"/>
    </row>
    <row r="654">
      <c r="A654" s="86"/>
      <c r="B654" s="86"/>
      <c r="C654" s="86"/>
      <c r="D654" s="86"/>
      <c r="E654" s="106" t="str">
        <f>HYPERLINK("https://docs.google.com/document/d/1ACp7ZArUpXUYlDMe0iKSgKXUPDO47eIkpeEv9GKuI8M/edit?usp=sharing","05")</f>
        <v>05</v>
      </c>
      <c r="F654" s="91" t="s">
        <v>380</v>
      </c>
      <c r="G654" s="91" t="s">
        <v>334</v>
      </c>
      <c r="H654" s="91" t="s">
        <v>314</v>
      </c>
      <c r="I654" s="91" t="s">
        <v>315</v>
      </c>
      <c r="J654" s="86"/>
      <c r="K654" s="86"/>
      <c r="L654" s="86"/>
    </row>
    <row r="655">
      <c r="A655" s="86"/>
      <c r="B655" s="86"/>
      <c r="C655" s="86"/>
      <c r="D655" s="86"/>
      <c r="E655" s="106" t="str">
        <f>HYPERLINK("https://docs.google.com/document/d/1DtUhgXxnAt6d69-ssplAOIr0pSTos5xyLwiZP1Rn_W0/edit?usp=sharing","10")</f>
        <v>10</v>
      </c>
      <c r="F655" s="91"/>
      <c r="G655" s="91" t="s">
        <v>314</v>
      </c>
      <c r="H655" s="91" t="s">
        <v>314</v>
      </c>
      <c r="I655" s="91" t="s">
        <v>315</v>
      </c>
      <c r="J655" s="86"/>
      <c r="K655" s="86"/>
      <c r="L655" s="86"/>
    </row>
    <row r="656">
      <c r="A656" s="86"/>
      <c r="B656" s="86"/>
      <c r="C656" s="7"/>
      <c r="D656" s="7"/>
      <c r="E656" s="96" t="str">
        <f>HYPERLINK("https://docs.google.com/document/d/1kLw8Ytj3uNkrC4lhFMoHe9H3d1YbTwOIRk3udTyeVes/edit?usp=sharing","11")</f>
        <v>11</v>
      </c>
      <c r="F656" s="104"/>
      <c r="G656" s="104" t="s">
        <v>314</v>
      </c>
      <c r="H656" s="104" t="s">
        <v>314</v>
      </c>
      <c r="I656" s="104" t="s">
        <v>315</v>
      </c>
      <c r="J656" s="7"/>
      <c r="K656" s="7"/>
      <c r="L656" s="7"/>
    </row>
    <row r="657">
      <c r="A657" s="86"/>
      <c r="B657" s="86"/>
      <c r="C657" s="121" t="s">
        <v>643</v>
      </c>
      <c r="D657" s="121">
        <v>1.0</v>
      </c>
      <c r="E657" s="84" t="str">
        <f>HYPERLINK("https://docs.google.com/document/d/1oAfygiiSEgQ1riInbpaDsP9cFUzdfb80uO_AdyUx-Oo/edit?usp=sharing","06")</f>
        <v>06</v>
      </c>
      <c r="F657" s="27"/>
      <c r="G657" s="10" t="s">
        <v>314</v>
      </c>
      <c r="H657" s="10" t="s">
        <v>315</v>
      </c>
      <c r="I657" s="10" t="s">
        <v>314</v>
      </c>
      <c r="J657" s="121" t="s">
        <v>41</v>
      </c>
      <c r="K657" s="121" t="s">
        <v>40</v>
      </c>
      <c r="L657" s="128"/>
    </row>
    <row r="658">
      <c r="A658" s="86"/>
      <c r="B658" s="86"/>
      <c r="C658" s="83" t="s">
        <v>168</v>
      </c>
      <c r="D658" s="83">
        <v>2.0</v>
      </c>
      <c r="E658" s="88" t="str">
        <f>HYPERLINK("https://docs.google.com/document/d/1_evqeqY2-jgVrEAkmyu9xMWRSOa4TG5ZhNQdPWUrIgw/edit?usp=sharing","02")</f>
        <v>02</v>
      </c>
      <c r="F658" s="89"/>
      <c r="G658" s="100" t="s">
        <v>315</v>
      </c>
      <c r="H658" s="100" t="s">
        <v>315</v>
      </c>
      <c r="I658" s="100" t="s">
        <v>314</v>
      </c>
      <c r="J658" s="83" t="s">
        <v>32</v>
      </c>
      <c r="K658" s="83" t="s">
        <v>31</v>
      </c>
      <c r="L658" s="122"/>
    </row>
    <row r="659">
      <c r="A659" s="86"/>
      <c r="B659" s="86"/>
      <c r="C659" s="86"/>
      <c r="D659" s="86"/>
      <c r="E659" s="96" t="str">
        <f>HYPERLINK("https://docs.google.com/document/d/1XSbQTlNwOgFWy9RrJOszuKeWvWkFFs0ec_-vz9DFDzs/edit?usp=sharing","04")</f>
        <v>04</v>
      </c>
      <c r="F659" s="104" t="s">
        <v>635</v>
      </c>
      <c r="G659" s="104" t="s">
        <v>315</v>
      </c>
      <c r="H659" s="104" t="s">
        <v>315</v>
      </c>
      <c r="I659" s="104" t="s">
        <v>314</v>
      </c>
      <c r="J659" s="86"/>
      <c r="K659" s="86"/>
      <c r="L659" s="86"/>
    </row>
    <row r="660">
      <c r="A660" s="86"/>
      <c r="B660" s="86"/>
      <c r="C660" s="83" t="s">
        <v>79</v>
      </c>
      <c r="D660" s="83">
        <v>2.0</v>
      </c>
      <c r="E660" s="149" t="str">
        <f>HYPERLINK("https://docs.google.com/document/d/1hgp8Zyp6iOw4N0fw95k-5IgCAHXZIK2kJ7ZAgKY2OKA/edit?usp=sharing","03")</f>
        <v>03</v>
      </c>
      <c r="F660" s="89"/>
      <c r="G660" s="100" t="s">
        <v>315</v>
      </c>
      <c r="H660" s="100" t="s">
        <v>315</v>
      </c>
      <c r="I660" s="100" t="s">
        <v>314</v>
      </c>
      <c r="J660" s="83" t="s">
        <v>29</v>
      </c>
      <c r="K660" s="83" t="s">
        <v>28</v>
      </c>
      <c r="L660" s="101" t="s">
        <v>340</v>
      </c>
    </row>
    <row r="661">
      <c r="A661" s="7"/>
      <c r="B661" s="7"/>
      <c r="C661" s="7"/>
      <c r="D661" s="7"/>
      <c r="E661" s="96" t="str">
        <f>HYPERLINK("https://docs.google.com/document/d/1XSbQTlNwOgFWy9RrJOszuKeWvWkFFs0ec_-vz9DFDzs/edit?usp=sharing","04")</f>
        <v>04</v>
      </c>
      <c r="F661" s="104" t="s">
        <v>635</v>
      </c>
      <c r="G661" s="104" t="s">
        <v>315</v>
      </c>
      <c r="H661" s="104" t="s">
        <v>315</v>
      </c>
      <c r="I661" s="104" t="s">
        <v>314</v>
      </c>
      <c r="J661" s="7"/>
      <c r="K661" s="7"/>
      <c r="L661" s="7"/>
    </row>
    <row r="662">
      <c r="A662" s="82" t="str">
        <f>HYPERLINK("https://docs.google.com/spreadsheets/d/1ZajpFwOHrMmupCcACeLhLTzPOwhTrjKRR1FJtUgeLww/edit?usp=sharing","33")</f>
        <v>33</v>
      </c>
      <c r="B662" s="83">
        <v>36.0</v>
      </c>
      <c r="C662" s="83" t="s">
        <v>644</v>
      </c>
      <c r="D662" s="83">
        <v>3.0</v>
      </c>
      <c r="E662" s="88" t="str">
        <f>HYPERLINK("https://docs.google.com/document/d/1o0s1EdFFazA52VdxfaJDjAdkBgiv7CjaXUNCBhOMZZM/edit?usp=sharing","01")</f>
        <v>01</v>
      </c>
      <c r="F662" s="100" t="s">
        <v>318</v>
      </c>
      <c r="G662" s="100" t="s">
        <v>314</v>
      </c>
      <c r="H662" s="100" t="s">
        <v>314</v>
      </c>
      <c r="I662" s="100" t="s">
        <v>315</v>
      </c>
      <c r="J662" s="83" t="s">
        <v>96</v>
      </c>
      <c r="K662" s="83" t="s">
        <v>60</v>
      </c>
      <c r="L662" s="101" t="s">
        <v>645</v>
      </c>
    </row>
    <row r="663">
      <c r="A663" s="86"/>
      <c r="B663" s="86"/>
      <c r="C663" s="86"/>
      <c r="D663" s="86"/>
      <c r="E663" s="142" t="str">
        <f>HYPERLINK("https://docs.google.com/document/d/12nIHoHeVARaHvJzXSWKmZ9Hb7ufGHrSk_szAYLgh6gc/edit?usp=sharing","02")</f>
        <v>02</v>
      </c>
      <c r="F663" s="107"/>
      <c r="G663" s="91" t="s">
        <v>315</v>
      </c>
      <c r="H663" s="91" t="s">
        <v>315</v>
      </c>
      <c r="I663" s="91" t="s">
        <v>314</v>
      </c>
      <c r="J663" s="86"/>
      <c r="K663" s="86"/>
      <c r="L663" s="86"/>
    </row>
    <row r="664">
      <c r="A664" s="86"/>
      <c r="B664" s="86"/>
      <c r="C664" s="7"/>
      <c r="D664" s="7"/>
      <c r="E664" s="146" t="str">
        <f>HYPERLINK("https://docs.google.com/document/d/1y0ko5QwnEXk3dT7pzPhHpfTFNd4Og_r7QvI2qjQ1PhU/edit?usp=sharing","03")</f>
        <v>03</v>
      </c>
      <c r="F664" s="97"/>
      <c r="G664" s="104" t="s">
        <v>314</v>
      </c>
      <c r="H664" s="104" t="s">
        <v>314</v>
      </c>
      <c r="I664" s="104" t="s">
        <v>315</v>
      </c>
      <c r="J664" s="7"/>
      <c r="K664" s="7"/>
      <c r="L664" s="7"/>
    </row>
    <row r="665">
      <c r="A665" s="86"/>
      <c r="B665" s="86"/>
      <c r="C665" s="83" t="s">
        <v>646</v>
      </c>
      <c r="D665" s="83">
        <v>2.0</v>
      </c>
      <c r="E665" s="149" t="str">
        <f>HYPERLINK("https://docs.google.com/document/d/12nIHoHeVARaHvJzXSWKmZ9Hb7ufGHrSk_szAYLgh6gc/edit?usp=sharing","02")</f>
        <v>02</v>
      </c>
      <c r="F665" s="89"/>
      <c r="G665" s="100" t="s">
        <v>315</v>
      </c>
      <c r="H665" s="100" t="s">
        <v>315</v>
      </c>
      <c r="I665" s="100" t="s">
        <v>314</v>
      </c>
      <c r="J665" s="83" t="s">
        <v>103</v>
      </c>
      <c r="K665" s="83" t="s">
        <v>60</v>
      </c>
      <c r="L665" s="94"/>
    </row>
    <row r="666">
      <c r="A666" s="86"/>
      <c r="B666" s="86"/>
      <c r="C666" s="7"/>
      <c r="D666" s="7"/>
      <c r="E666" s="146" t="str">
        <f t="shared" ref="E666:E667" si="30">HYPERLINK("https://docs.google.com/document/d/175Ix3Nf9ti7hbYEqm8Rnr_B8nh3Ep5U8P8eYQphWN-g/edit?usp=sharing","04")</f>
        <v>04</v>
      </c>
      <c r="F666" s="97"/>
      <c r="G666" s="104" t="s">
        <v>315</v>
      </c>
      <c r="H666" s="104" t="s">
        <v>314</v>
      </c>
      <c r="I666" s="104" t="s">
        <v>315</v>
      </c>
      <c r="J666" s="7"/>
      <c r="K666" s="7"/>
      <c r="L666" s="86"/>
    </row>
    <row r="667">
      <c r="A667" s="86"/>
      <c r="B667" s="86"/>
      <c r="C667" s="10" t="s">
        <v>647</v>
      </c>
      <c r="D667" s="10">
        <v>1.0</v>
      </c>
      <c r="E667" s="139" t="str">
        <f t="shared" si="30"/>
        <v>04</v>
      </c>
      <c r="F667" s="27"/>
      <c r="G667" s="10" t="s">
        <v>314</v>
      </c>
      <c r="H667" s="10" t="s">
        <v>315</v>
      </c>
      <c r="I667" s="10" t="s">
        <v>314</v>
      </c>
      <c r="J667" s="10" t="s">
        <v>112</v>
      </c>
      <c r="K667" s="10" t="s">
        <v>60</v>
      </c>
      <c r="L667" s="85"/>
    </row>
    <row r="668">
      <c r="A668" s="86"/>
      <c r="B668" s="86"/>
      <c r="C668" s="83" t="s">
        <v>648</v>
      </c>
      <c r="D668" s="83">
        <v>3.0</v>
      </c>
      <c r="E668" s="149" t="str">
        <f>HYPERLINK("https://docs.google.com/document/d/1y0ko5QwnEXk3dT7pzPhHpfTFNd4Og_r7QvI2qjQ1PhU/edit?usp=sharing","03")</f>
        <v>03</v>
      </c>
      <c r="F668" s="89"/>
      <c r="G668" s="100" t="s">
        <v>315</v>
      </c>
      <c r="H668" s="100" t="s">
        <v>315</v>
      </c>
      <c r="I668" s="100" t="s">
        <v>314</v>
      </c>
      <c r="J668" s="83" t="s">
        <v>100</v>
      </c>
      <c r="K668" s="83" t="s">
        <v>84</v>
      </c>
      <c r="L668" s="101" t="s">
        <v>340</v>
      </c>
    </row>
    <row r="669">
      <c r="A669" s="86"/>
      <c r="B669" s="86"/>
      <c r="C669" s="86"/>
      <c r="D669" s="86"/>
      <c r="E669" s="142" t="str">
        <f>HYPERLINK("https://docs.google.com/document/d/175Ix3Nf9ti7hbYEqm8Rnr_B8nh3Ep5U8P8eYQphWN-g/edit?usp=sharing","04")</f>
        <v>04</v>
      </c>
      <c r="F669" s="107"/>
      <c r="G669" s="91" t="s">
        <v>314</v>
      </c>
      <c r="H669" s="91" t="s">
        <v>315</v>
      </c>
      <c r="I669" s="91" t="s">
        <v>314</v>
      </c>
      <c r="J669" s="86"/>
      <c r="K669" s="86"/>
      <c r="L669" s="86"/>
    </row>
    <row r="670">
      <c r="A670" s="86"/>
      <c r="B670" s="86"/>
      <c r="C670" s="7"/>
      <c r="D670" s="7"/>
      <c r="E670" s="146" t="str">
        <f>HYPERLINK("https://docs.google.com/document/d/1FJOPLavhrHvCHlGIp0Zm0_fK0418LYZI5VCe0r3mb2E/edit?usp=sharing","06")</f>
        <v>06</v>
      </c>
      <c r="F670" s="97"/>
      <c r="G670" s="104" t="s">
        <v>315</v>
      </c>
      <c r="H670" s="104" t="s">
        <v>315</v>
      </c>
      <c r="I670" s="104" t="s">
        <v>314</v>
      </c>
      <c r="J670" s="7"/>
      <c r="K670" s="7"/>
      <c r="L670" s="7"/>
    </row>
    <row r="671">
      <c r="A671" s="86"/>
      <c r="B671" s="86"/>
      <c r="C671" s="10" t="s">
        <v>649</v>
      </c>
      <c r="D671" s="10">
        <v>1.0</v>
      </c>
      <c r="E671" s="139" t="str">
        <f>HYPERLINK("https://docs.google.com/document/d/175Ix3Nf9ti7hbYEqm8Rnr_B8nh3Ep5U8P8eYQphWN-g/edit?usp=sharing","04")</f>
        <v>04</v>
      </c>
      <c r="F671" s="27"/>
      <c r="G671" s="10" t="s">
        <v>314</v>
      </c>
      <c r="H671" s="10" t="s">
        <v>315</v>
      </c>
      <c r="I671" s="10" t="s">
        <v>314</v>
      </c>
      <c r="J671" s="10" t="s">
        <v>82</v>
      </c>
      <c r="K671" s="10" t="s">
        <v>48</v>
      </c>
      <c r="L671" s="85"/>
    </row>
    <row r="672">
      <c r="A672" s="86"/>
      <c r="B672" s="86"/>
      <c r="C672" s="10" t="s">
        <v>650</v>
      </c>
      <c r="D672" s="10">
        <v>1.0</v>
      </c>
      <c r="E672" s="139" t="str">
        <f>HYPERLINK("https://docs.google.com/document/d/1FJOPLavhrHvCHlGIp0Zm0_fK0418LYZI5VCe0r3mb2E/edit?usp=sharing","06")</f>
        <v>06</v>
      </c>
      <c r="F672" s="27"/>
      <c r="G672" s="10" t="s">
        <v>315</v>
      </c>
      <c r="H672" s="10" t="s">
        <v>315</v>
      </c>
      <c r="I672" s="10" t="s">
        <v>314</v>
      </c>
      <c r="J672" s="10" t="s">
        <v>69</v>
      </c>
      <c r="K672" s="10" t="s">
        <v>43</v>
      </c>
      <c r="L672" s="85"/>
    </row>
    <row r="673">
      <c r="A673" s="86"/>
      <c r="B673" s="86"/>
      <c r="C673" s="83" t="s">
        <v>651</v>
      </c>
      <c r="D673" s="83">
        <v>3.0</v>
      </c>
      <c r="E673" s="149" t="str">
        <f>HYPERLINK("https://docs.google.com/document/d/12nIHoHeVARaHvJzXSWKmZ9Hb7ufGHrSk_szAYLgh6gc/edit?usp=sharing","02")</f>
        <v>02</v>
      </c>
      <c r="F673" s="89"/>
      <c r="G673" s="100" t="s">
        <v>315</v>
      </c>
      <c r="H673" s="100" t="s">
        <v>315</v>
      </c>
      <c r="I673" s="100" t="s">
        <v>314</v>
      </c>
      <c r="J673" s="83" t="s">
        <v>86</v>
      </c>
      <c r="K673" s="83" t="s">
        <v>58</v>
      </c>
      <c r="L673" s="101" t="s">
        <v>591</v>
      </c>
    </row>
    <row r="674">
      <c r="A674" s="86"/>
      <c r="B674" s="86"/>
      <c r="C674" s="86"/>
      <c r="D674" s="86"/>
      <c r="E674" s="142" t="str">
        <f>HYPERLINK("https://docs.google.com/document/d/1W-qM5QP5TqhYNnqyDouvfVQucPSIu5QdB93c91qw6TY/edit?usp=sharing","08")</f>
        <v>08</v>
      </c>
      <c r="F674" s="91" t="s">
        <v>9</v>
      </c>
      <c r="G674" s="91" t="s">
        <v>315</v>
      </c>
      <c r="H674" s="91" t="s">
        <v>314</v>
      </c>
      <c r="I674" s="91" t="s">
        <v>315</v>
      </c>
      <c r="J674" s="86"/>
      <c r="K674" s="86"/>
      <c r="L674" s="86"/>
    </row>
    <row r="675">
      <c r="A675" s="86"/>
      <c r="B675" s="86"/>
      <c r="C675" s="7"/>
      <c r="D675" s="7"/>
      <c r="E675" s="146" t="str">
        <f>HYPERLINK("https://docs.google.com/document/d/1mFV7wVss5MkD7lXrKx7PRxYO9e_MLHy1HuJFJrTOmrE/edit?usp=sharing","09")</f>
        <v>09</v>
      </c>
      <c r="F675" s="104"/>
      <c r="G675" s="104" t="s">
        <v>314</v>
      </c>
      <c r="H675" s="104" t="s">
        <v>314</v>
      </c>
      <c r="I675" s="104" t="s">
        <v>315</v>
      </c>
      <c r="J675" s="7"/>
      <c r="K675" s="7"/>
      <c r="L675" s="7"/>
    </row>
    <row r="676">
      <c r="A676" s="86"/>
      <c r="B676" s="86"/>
      <c r="C676" s="83" t="s">
        <v>652</v>
      </c>
      <c r="D676" s="83">
        <v>5.0</v>
      </c>
      <c r="E676" s="149" t="str">
        <f>HYPERLINK("https://docs.google.com/document/d/12nIHoHeVARaHvJzXSWKmZ9Hb7ufGHrSk_szAYLgh6gc/edit?usp=sharing","02")</f>
        <v>02</v>
      </c>
      <c r="F676" s="89"/>
      <c r="G676" s="100" t="s">
        <v>314</v>
      </c>
      <c r="H676" s="100" t="s">
        <v>314</v>
      </c>
      <c r="I676" s="100" t="s">
        <v>315</v>
      </c>
      <c r="J676" s="83" t="s">
        <v>71</v>
      </c>
      <c r="K676" s="83" t="s">
        <v>37</v>
      </c>
      <c r="L676" s="101" t="s">
        <v>364</v>
      </c>
    </row>
    <row r="677">
      <c r="A677" s="86"/>
      <c r="B677" s="86"/>
      <c r="C677" s="86"/>
      <c r="D677" s="86"/>
      <c r="E677" s="142" t="str">
        <f>HYPERLINK("https://docs.google.com/document/d/175Ix3Nf9ti7hbYEqm8Rnr_B8nh3Ep5U8P8eYQphWN-g/edit?usp=sharing","04")</f>
        <v>04</v>
      </c>
      <c r="F677" s="107"/>
      <c r="G677" s="91" t="s">
        <v>314</v>
      </c>
      <c r="H677" s="91" t="s">
        <v>315</v>
      </c>
      <c r="I677" s="91" t="s">
        <v>314</v>
      </c>
      <c r="J677" s="86"/>
      <c r="K677" s="86"/>
      <c r="L677" s="86"/>
    </row>
    <row r="678">
      <c r="A678" s="86"/>
      <c r="B678" s="86"/>
      <c r="C678" s="86"/>
      <c r="D678" s="86"/>
      <c r="E678" s="142" t="str">
        <f>HYPERLINK("https://docs.google.com/document/d/12zOyVVAPJcPXy5cau72cWmD27pmB0jpRbMOJWiu-Y2s/edit?usp=sharing","05")</f>
        <v>05</v>
      </c>
      <c r="F678" s="91" t="s">
        <v>380</v>
      </c>
      <c r="G678" s="91" t="s">
        <v>314</v>
      </c>
      <c r="H678" s="91" t="s">
        <v>315</v>
      </c>
      <c r="I678" s="91" t="s">
        <v>314</v>
      </c>
      <c r="J678" s="86"/>
      <c r="K678" s="86"/>
      <c r="L678" s="86"/>
    </row>
    <row r="679">
      <c r="A679" s="86"/>
      <c r="B679" s="86"/>
      <c r="C679" s="86"/>
      <c r="D679" s="86"/>
      <c r="E679" s="142" t="str">
        <f>HYPERLINK("https://docs.google.com/document/d/1FJOPLavhrHvCHlGIp0Zm0_fK0418LYZI5VCe0r3mb2E/edit?usp=sharing","06")</f>
        <v>06</v>
      </c>
      <c r="F679" s="91"/>
      <c r="G679" s="91" t="s">
        <v>315</v>
      </c>
      <c r="H679" s="91" t="s">
        <v>315</v>
      </c>
      <c r="I679" s="91" t="s">
        <v>314</v>
      </c>
      <c r="J679" s="86"/>
      <c r="K679" s="86"/>
      <c r="L679" s="86"/>
    </row>
    <row r="680">
      <c r="A680" s="86"/>
      <c r="B680" s="86"/>
      <c r="C680" s="7"/>
      <c r="D680" s="7"/>
      <c r="E680" s="146" t="str">
        <f>HYPERLINK("https://docs.google.com/document/d/1f9o34irAm1qpgexB-DpuxIykzkkYbQetzqdlk7Q_7vw/edit?usp=sharing","11")</f>
        <v>11</v>
      </c>
      <c r="F680" s="104"/>
      <c r="G680" s="104" t="s">
        <v>314</v>
      </c>
      <c r="H680" s="104" t="s">
        <v>314</v>
      </c>
      <c r="I680" s="104" t="s">
        <v>315</v>
      </c>
      <c r="J680" s="7"/>
      <c r="K680" s="7"/>
      <c r="L680" s="7"/>
    </row>
    <row r="681">
      <c r="A681" s="86"/>
      <c r="B681" s="86"/>
      <c r="C681" s="83" t="s">
        <v>653</v>
      </c>
      <c r="D681" s="83">
        <v>6.0</v>
      </c>
      <c r="E681" s="149" t="str">
        <f>HYPERLINK("https://docs.google.com/document/d/175Ix3Nf9ti7hbYEqm8Rnr_B8nh3Ep5U8P8eYQphWN-g/edit?usp=sharing","04")</f>
        <v>04</v>
      </c>
      <c r="F681" s="89"/>
      <c r="G681" s="100" t="s">
        <v>315</v>
      </c>
      <c r="H681" s="100" t="s">
        <v>314</v>
      </c>
      <c r="I681" s="100" t="s">
        <v>315</v>
      </c>
      <c r="J681" s="83" t="s">
        <v>44</v>
      </c>
      <c r="K681" s="83" t="s">
        <v>24</v>
      </c>
      <c r="L681" s="101" t="s">
        <v>654</v>
      </c>
    </row>
    <row r="682">
      <c r="A682" s="86"/>
      <c r="B682" s="86"/>
      <c r="C682" s="86"/>
      <c r="D682" s="86"/>
      <c r="E682" s="142" t="str">
        <f>HYPERLINK("https://docs.google.com/document/d/12zOyVVAPJcPXy5cau72cWmD27pmB0jpRbMOJWiu-Y2s/edit?usp=sharing","05")</f>
        <v>05</v>
      </c>
      <c r="F682" s="91" t="s">
        <v>380</v>
      </c>
      <c r="G682" s="91" t="s">
        <v>314</v>
      </c>
      <c r="H682" s="91" t="s">
        <v>315</v>
      </c>
      <c r="I682" s="91" t="s">
        <v>314</v>
      </c>
      <c r="J682" s="86"/>
      <c r="K682" s="86"/>
      <c r="L682" s="86"/>
    </row>
    <row r="683">
      <c r="A683" s="86"/>
      <c r="B683" s="86"/>
      <c r="C683" s="86"/>
      <c r="D683" s="86"/>
      <c r="E683" s="142" t="str">
        <f>HYPERLINK("https://docs.google.com/document/d/1FJOPLavhrHvCHlGIp0Zm0_fK0418LYZI5VCe0r3mb2E/edit?usp=sharing","06")</f>
        <v>06</v>
      </c>
      <c r="F683" s="91"/>
      <c r="G683" s="91" t="s">
        <v>315</v>
      </c>
      <c r="H683" s="91" t="s">
        <v>315</v>
      </c>
      <c r="I683" s="91" t="s">
        <v>314</v>
      </c>
      <c r="J683" s="86"/>
      <c r="K683" s="86"/>
      <c r="L683" s="86"/>
    </row>
    <row r="684">
      <c r="A684" s="86"/>
      <c r="B684" s="86"/>
      <c r="C684" s="86"/>
      <c r="D684" s="86"/>
      <c r="E684" s="142" t="str">
        <f>HYPERLINK("https://docs.google.com/document/d/1W-qM5QP5TqhYNnqyDouvfVQucPSIu5QdB93c91qw6TY/edit?usp=sharing","08")</f>
        <v>08</v>
      </c>
      <c r="F684" s="91" t="s">
        <v>9</v>
      </c>
      <c r="G684" s="91" t="s">
        <v>315</v>
      </c>
      <c r="H684" s="91" t="s">
        <v>314</v>
      </c>
      <c r="I684" s="91" t="s">
        <v>315</v>
      </c>
      <c r="J684" s="86"/>
      <c r="K684" s="86"/>
      <c r="L684" s="86"/>
    </row>
    <row r="685">
      <c r="A685" s="86"/>
      <c r="B685" s="86"/>
      <c r="C685" s="86"/>
      <c r="D685" s="86"/>
      <c r="E685" s="142" t="str">
        <f>HYPERLINK("https://docs.google.com/document/d/1RURFUL4lIaOODdiJRfmJKX4Z68ucZjmChGmDVUGy6Gw/edit?usp=sharing","12")</f>
        <v>12</v>
      </c>
      <c r="F685" s="91"/>
      <c r="G685" s="91" t="s">
        <v>315</v>
      </c>
      <c r="H685" s="91" t="s">
        <v>314</v>
      </c>
      <c r="I685" s="91" t="s">
        <v>315</v>
      </c>
      <c r="J685" s="86"/>
      <c r="K685" s="86"/>
      <c r="L685" s="86"/>
    </row>
    <row r="686">
      <c r="A686" s="86"/>
      <c r="B686" s="86"/>
      <c r="C686" s="7"/>
      <c r="D686" s="7"/>
      <c r="E686" s="146" t="str">
        <f>HYPERLINK("https://docs.google.com/document/d/1GDcr2tdJFDyvDVDcZxOOorsIN0u9A2FMYcSK6vmnqns/edit?usp=sharing","13")</f>
        <v>13</v>
      </c>
      <c r="F686" s="104" t="s">
        <v>353</v>
      </c>
      <c r="G686" s="104" t="s">
        <v>314</v>
      </c>
      <c r="H686" s="104" t="s">
        <v>314</v>
      </c>
      <c r="I686" s="104" t="s">
        <v>315</v>
      </c>
      <c r="J686" s="7"/>
      <c r="K686" s="7"/>
      <c r="L686" s="7"/>
    </row>
    <row r="687">
      <c r="A687" s="86"/>
      <c r="B687" s="86"/>
      <c r="C687" s="83" t="s">
        <v>655</v>
      </c>
      <c r="D687" s="83">
        <v>4.0</v>
      </c>
      <c r="E687" s="149" t="str">
        <f>HYPERLINK("https://docs.google.com/document/d/12nIHoHeVARaHvJzXSWKmZ9Hb7ufGHrSk_szAYLgh6gc/edit?usp=sharing","02")</f>
        <v>02</v>
      </c>
      <c r="F687" s="89"/>
      <c r="G687" s="100" t="s">
        <v>315</v>
      </c>
      <c r="H687" s="100" t="s">
        <v>315</v>
      </c>
      <c r="I687" s="100" t="s">
        <v>314</v>
      </c>
      <c r="J687" s="83" t="s">
        <v>67</v>
      </c>
      <c r="K687" s="83" t="s">
        <v>45</v>
      </c>
      <c r="L687" s="101" t="s">
        <v>340</v>
      </c>
    </row>
    <row r="688">
      <c r="A688" s="86"/>
      <c r="B688" s="86"/>
      <c r="C688" s="86"/>
      <c r="D688" s="86"/>
      <c r="E688" s="142" t="str">
        <f>HYPERLINK("https://docs.google.com/document/d/1y0ko5QwnEXk3dT7pzPhHpfTFNd4Og_r7QvI2qjQ1PhU/edit?usp=sharing","03")</f>
        <v>03</v>
      </c>
      <c r="F688" s="107"/>
      <c r="G688" s="91" t="s">
        <v>314</v>
      </c>
      <c r="H688" s="91" t="s">
        <v>314</v>
      </c>
      <c r="I688" s="91" t="s">
        <v>315</v>
      </c>
      <c r="J688" s="86"/>
      <c r="K688" s="86"/>
      <c r="L688" s="86"/>
    </row>
    <row r="689">
      <c r="A689" s="86"/>
      <c r="B689" s="86"/>
      <c r="C689" s="86"/>
      <c r="D689" s="86"/>
      <c r="E689" s="142" t="str">
        <f>HYPERLINK("https://docs.google.com/document/d/1FJOPLavhrHvCHlGIp0Zm0_fK0418LYZI5VCe0r3mb2E/edit?usp=sharing","06")</f>
        <v>06</v>
      </c>
      <c r="F689" s="107"/>
      <c r="G689" s="91" t="s">
        <v>315</v>
      </c>
      <c r="H689" s="91" t="s">
        <v>315</v>
      </c>
      <c r="I689" s="91" t="s">
        <v>314</v>
      </c>
      <c r="J689" s="86"/>
      <c r="K689" s="86"/>
      <c r="L689" s="86"/>
    </row>
    <row r="690">
      <c r="A690" s="86"/>
      <c r="B690" s="86"/>
      <c r="C690" s="7"/>
      <c r="D690" s="7"/>
      <c r="E690" s="146" t="str">
        <f>HYPERLINK("https://docs.google.com/document/d/1RURFUL4lIaOODdiJRfmJKX4Z68ucZjmChGmDVUGy6Gw/edit?usp=sharing","12")</f>
        <v>12</v>
      </c>
      <c r="F690" s="97"/>
      <c r="G690" s="104" t="s">
        <v>314</v>
      </c>
      <c r="H690" s="104" t="s">
        <v>314</v>
      </c>
      <c r="I690" s="104" t="s">
        <v>315</v>
      </c>
      <c r="J690" s="7"/>
      <c r="K690" s="7"/>
      <c r="L690" s="7"/>
    </row>
    <row r="691">
      <c r="A691" s="86"/>
      <c r="B691" s="86"/>
      <c r="C691" s="83" t="s">
        <v>656</v>
      </c>
      <c r="D691" s="83">
        <v>4.0</v>
      </c>
      <c r="E691" s="149" t="str">
        <f>HYPERLINK("https://docs.google.com/document/d/1myB-BIpUnct31dxDfFaJvLjmJNe_W0DgoCJWnHT1PX0/edit?usp=sharing","07")</f>
        <v>07</v>
      </c>
      <c r="F691" s="89"/>
      <c r="G691" s="100" t="s">
        <v>314</v>
      </c>
      <c r="H691" s="100" t="s">
        <v>315</v>
      </c>
      <c r="I691" s="100" t="s">
        <v>314</v>
      </c>
      <c r="J691" s="83" t="s">
        <v>53</v>
      </c>
      <c r="K691" s="83" t="s">
        <v>50</v>
      </c>
      <c r="L691" s="101" t="s">
        <v>336</v>
      </c>
    </row>
    <row r="692">
      <c r="A692" s="86"/>
      <c r="B692" s="86"/>
      <c r="C692" s="86"/>
      <c r="D692" s="86"/>
      <c r="E692" s="142" t="str">
        <f>HYPERLINK("https://docs.google.com/document/d/1W-qM5QP5TqhYNnqyDouvfVQucPSIu5QdB93c91qw6TY/edit?usp=sharing","08")</f>
        <v>08</v>
      </c>
      <c r="F692" s="91" t="s">
        <v>9</v>
      </c>
      <c r="G692" s="91" t="s">
        <v>315</v>
      </c>
      <c r="H692" s="91" t="s">
        <v>314</v>
      </c>
      <c r="I692" s="91" t="s">
        <v>315</v>
      </c>
      <c r="J692" s="86"/>
      <c r="K692" s="86"/>
      <c r="L692" s="86"/>
    </row>
    <row r="693">
      <c r="A693" s="86"/>
      <c r="B693" s="86"/>
      <c r="C693" s="86"/>
      <c r="D693" s="86"/>
      <c r="E693" s="142" t="str">
        <f>HYPERLINK("https://docs.google.com/document/d/1mFV7wVss5MkD7lXrKx7PRxYO9e_MLHy1HuJFJrTOmrE/edit?usp=sharing","09")</f>
        <v>09</v>
      </c>
      <c r="F693" s="107"/>
      <c r="G693" s="91" t="s">
        <v>315</v>
      </c>
      <c r="H693" s="91" t="s">
        <v>315</v>
      </c>
      <c r="I693" s="91" t="s">
        <v>315</v>
      </c>
      <c r="J693" s="86"/>
      <c r="K693" s="86"/>
      <c r="L693" s="86"/>
    </row>
    <row r="694">
      <c r="A694" s="86"/>
      <c r="B694" s="86"/>
      <c r="C694" s="7"/>
      <c r="D694" s="7"/>
      <c r="E694" s="146" t="str">
        <f>HYPERLINK("https://docs.google.com/document/d/1Knl-cotKtkMr9Te1CFZQIwFPgpM1_7dUEXppNksgRc4/edit?usp=sharing","10")</f>
        <v>10</v>
      </c>
      <c r="F694" s="97"/>
      <c r="G694" s="104" t="s">
        <v>314</v>
      </c>
      <c r="H694" s="104" t="s">
        <v>314</v>
      </c>
      <c r="I694" s="104" t="s">
        <v>315</v>
      </c>
      <c r="J694" s="7"/>
      <c r="K694" s="7"/>
      <c r="L694" s="7"/>
    </row>
    <row r="695">
      <c r="A695" s="86"/>
      <c r="B695" s="86"/>
      <c r="C695" s="83" t="s">
        <v>657</v>
      </c>
      <c r="D695" s="83">
        <v>3.0</v>
      </c>
      <c r="E695" s="149" t="str">
        <f>HYPERLINK("https://docs.google.com/document/d/12nIHoHeVARaHvJzXSWKmZ9Hb7ufGHrSk_szAYLgh6gc/edit?usp=sharing","02")</f>
        <v>02</v>
      </c>
      <c r="F695" s="89"/>
      <c r="G695" s="100" t="s">
        <v>314</v>
      </c>
      <c r="H695" s="100" t="s">
        <v>314</v>
      </c>
      <c r="I695" s="100" t="s">
        <v>315</v>
      </c>
      <c r="J695" s="83" t="s">
        <v>53</v>
      </c>
      <c r="K695" s="83" t="s">
        <v>50</v>
      </c>
      <c r="L695" s="101" t="s">
        <v>340</v>
      </c>
    </row>
    <row r="696">
      <c r="A696" s="86"/>
      <c r="B696" s="86"/>
      <c r="C696" s="86"/>
      <c r="D696" s="86"/>
      <c r="E696" s="142" t="str">
        <f>HYPERLINK("https://docs.google.com/document/d/175Ix3Nf9ti7hbYEqm8Rnr_B8nh3Ep5U8P8eYQphWN-g/edit?usp=sharing","04")</f>
        <v>04</v>
      </c>
      <c r="F696" s="107"/>
      <c r="G696" s="91" t="s">
        <v>314</v>
      </c>
      <c r="H696" s="91" t="s">
        <v>315</v>
      </c>
      <c r="I696" s="91" t="s">
        <v>314</v>
      </c>
      <c r="J696" s="86"/>
      <c r="K696" s="86"/>
      <c r="L696" s="86"/>
    </row>
    <row r="697">
      <c r="A697" s="7"/>
      <c r="B697" s="7"/>
      <c r="C697" s="7"/>
      <c r="D697" s="7"/>
      <c r="E697" s="146" t="str">
        <f>HYPERLINK("https://docs.google.com/document/d/12zOyVVAPJcPXy5cau72cWmD27pmB0jpRbMOJWiu-Y2s/edit?usp=sharing","05")</f>
        <v>05</v>
      </c>
      <c r="F697" s="104" t="s">
        <v>380</v>
      </c>
      <c r="G697" s="104" t="s">
        <v>314</v>
      </c>
      <c r="H697" s="104" t="s">
        <v>315</v>
      </c>
      <c r="I697" s="104" t="s">
        <v>314</v>
      </c>
      <c r="J697" s="7"/>
      <c r="K697" s="7"/>
      <c r="L697" s="7"/>
    </row>
    <row r="698">
      <c r="A698" s="82" t="str">
        <f>HYPERLINK("https://docs.google.com/spreadsheets/d/1tElnwN2HVf964gGw8Ei53RyfjarS40wkDY3zivAPWp0/edit?usp=sharing","34")</f>
        <v>34</v>
      </c>
      <c r="B698" s="83">
        <v>34.0</v>
      </c>
      <c r="C698" s="10" t="s">
        <v>211</v>
      </c>
      <c r="D698" s="10">
        <v>1.0</v>
      </c>
      <c r="E698" s="139" t="str">
        <f>HYPERLINK("https://docs.google.com/document/d/1fCntkTqgfealU_0s6WhvReuxfxW4iiwGIPdPUz5XEEA/edit?usp=sharing","01")</f>
        <v>01</v>
      </c>
      <c r="F698" s="10" t="s">
        <v>318</v>
      </c>
      <c r="G698" s="10" t="s">
        <v>315</v>
      </c>
      <c r="H698" s="10" t="s">
        <v>315</v>
      </c>
      <c r="I698" s="10" t="s">
        <v>314</v>
      </c>
      <c r="J698" s="10" t="s">
        <v>103</v>
      </c>
      <c r="K698" s="10" t="s">
        <v>60</v>
      </c>
      <c r="L698" s="85"/>
    </row>
    <row r="699">
      <c r="A699" s="86"/>
      <c r="B699" s="86"/>
      <c r="C699" s="83" t="s">
        <v>209</v>
      </c>
      <c r="D699" s="83">
        <v>3.0</v>
      </c>
      <c r="E699" s="149" t="str">
        <f>HYPERLINK("https://docs.google.com/document/d/1xNflXIptSGskClPFPE56A3YYOX2IIBdpzU99R3Lx7jg/edit?usp=sharing","02")</f>
        <v>02</v>
      </c>
      <c r="F699" s="89"/>
      <c r="G699" s="100" t="s">
        <v>314</v>
      </c>
      <c r="H699" s="100" t="s">
        <v>314</v>
      </c>
      <c r="I699" s="100" t="s">
        <v>315</v>
      </c>
      <c r="J699" s="83" t="s">
        <v>100</v>
      </c>
      <c r="K699" s="83" t="s">
        <v>84</v>
      </c>
      <c r="L699" s="101" t="s">
        <v>340</v>
      </c>
    </row>
    <row r="700">
      <c r="A700" s="86"/>
      <c r="B700" s="86"/>
      <c r="C700" s="86"/>
      <c r="D700" s="86"/>
      <c r="E700" s="142" t="str">
        <f>HYPERLINK("https://docs.google.com/document/d/1OIGIVWwRSwr8oKmbuib6eaGDIOIlBruDPQpFEhmbeko/edit?usp=sharing","06")</f>
        <v>06</v>
      </c>
      <c r="F700" s="91" t="s">
        <v>380</v>
      </c>
      <c r="G700" s="91" t="s">
        <v>334</v>
      </c>
      <c r="H700" s="91" t="s">
        <v>315</v>
      </c>
      <c r="I700" s="91" t="s">
        <v>314</v>
      </c>
      <c r="J700" s="86"/>
      <c r="K700" s="86"/>
      <c r="L700" s="86"/>
    </row>
    <row r="701">
      <c r="A701" s="86"/>
      <c r="B701" s="86"/>
      <c r="C701" s="7"/>
      <c r="D701" s="7"/>
      <c r="E701" s="146" t="str">
        <f>HYPERLINK("https://docs.google.com/document/d/1EZNLuyOvrxHdBeOLHsjPaNgalt1uWE4mYY-ZPL1Bhxw/edit?usp=sharing","07")</f>
        <v>07</v>
      </c>
      <c r="F701" s="104"/>
      <c r="G701" s="104" t="s">
        <v>314</v>
      </c>
      <c r="H701" s="104" t="s">
        <v>315</v>
      </c>
      <c r="I701" s="104" t="s">
        <v>314</v>
      </c>
      <c r="J701" s="7"/>
      <c r="K701" s="7"/>
      <c r="L701" s="7"/>
    </row>
    <row r="702">
      <c r="A702" s="86"/>
      <c r="B702" s="86"/>
      <c r="C702" s="83" t="s">
        <v>258</v>
      </c>
      <c r="D702" s="83">
        <v>3.0</v>
      </c>
      <c r="E702" s="149" t="str">
        <f>HYPERLINK("https://docs.google.com/document/d/1xNflXIptSGskClPFPE56A3YYOX2IIBdpzU99R3Lx7jg/edit?usp=sharing","02")</f>
        <v>02</v>
      </c>
      <c r="F702" s="89"/>
      <c r="G702" s="100" t="s">
        <v>315</v>
      </c>
      <c r="H702" s="100" t="s">
        <v>315</v>
      </c>
      <c r="I702" s="100" t="s">
        <v>314</v>
      </c>
      <c r="J702" s="83" t="s">
        <v>82</v>
      </c>
      <c r="K702" s="83" t="s">
        <v>48</v>
      </c>
      <c r="L702" s="94"/>
    </row>
    <row r="703">
      <c r="A703" s="86"/>
      <c r="B703" s="86"/>
      <c r="C703" s="86"/>
      <c r="D703" s="86"/>
      <c r="E703" s="142" t="str">
        <f>HYPERLINK("https://docs.google.com/document/d/1ESXvmhCO61ibv30LRF2A6iiOePKYr_yFVsTXHFeFSZw/edit?usp=sharing","05")</f>
        <v>05</v>
      </c>
      <c r="F703" s="107"/>
      <c r="G703" s="91" t="s">
        <v>315</v>
      </c>
      <c r="H703" s="91" t="s">
        <v>315</v>
      </c>
      <c r="I703" s="91" t="s">
        <v>314</v>
      </c>
      <c r="J703" s="86"/>
      <c r="K703" s="86"/>
      <c r="L703" s="86"/>
    </row>
    <row r="704">
      <c r="A704" s="86"/>
      <c r="B704" s="86"/>
      <c r="C704" s="7"/>
      <c r="D704" s="7"/>
      <c r="E704" s="146" t="str">
        <f>HYPERLINK("https://docs.google.com/document/d/1__5wN8v5dkQNemfA5S7EEeXOUh5JADG8xXSu-X6wlXg/edit?usp=sharing","08")</f>
        <v>08</v>
      </c>
      <c r="F704" s="104" t="s">
        <v>9</v>
      </c>
      <c r="G704" s="104" t="s">
        <v>315</v>
      </c>
      <c r="H704" s="104" t="s">
        <v>314</v>
      </c>
      <c r="I704" s="104" t="s">
        <v>315</v>
      </c>
      <c r="J704" s="7"/>
      <c r="K704" s="7"/>
      <c r="L704" s="7"/>
    </row>
    <row r="705">
      <c r="A705" s="86"/>
      <c r="B705" s="86"/>
      <c r="C705" s="83" t="s">
        <v>301</v>
      </c>
      <c r="D705" s="83">
        <v>2.0</v>
      </c>
      <c r="E705" s="149" t="str">
        <f>HYPERLINK("https://docs.google.com/document/d/1TmVMSoLE3d9UDcoQ1TFfHdwNyaqexESNeCu-cNnntIw/edit?usp=sharing","04")</f>
        <v>04</v>
      </c>
      <c r="F705" s="89"/>
      <c r="G705" s="100" t="s">
        <v>314</v>
      </c>
      <c r="H705" s="100" t="s">
        <v>315</v>
      </c>
      <c r="I705" s="100" t="s">
        <v>314</v>
      </c>
      <c r="J705" s="83" t="s">
        <v>86</v>
      </c>
      <c r="K705" s="83" t="s">
        <v>58</v>
      </c>
      <c r="L705" s="101" t="s">
        <v>340</v>
      </c>
    </row>
    <row r="706">
      <c r="A706" s="86"/>
      <c r="B706" s="86"/>
      <c r="C706" s="7"/>
      <c r="D706" s="7"/>
      <c r="E706" s="146" t="str">
        <f>HYPERLINK("https://docs.google.com/document/d/1ESXvmhCO61ibv30LRF2A6iiOePKYr_yFVsTXHFeFSZw/edit?usp=sharing","05")</f>
        <v>05</v>
      </c>
      <c r="F706" s="97"/>
      <c r="G706" s="104" t="s">
        <v>315</v>
      </c>
      <c r="H706" s="104" t="s">
        <v>315</v>
      </c>
      <c r="I706" s="104" t="s">
        <v>314</v>
      </c>
      <c r="J706" s="7"/>
      <c r="K706" s="7"/>
      <c r="L706" s="7"/>
    </row>
    <row r="707">
      <c r="A707" s="86"/>
      <c r="B707" s="86"/>
      <c r="C707" s="83" t="s">
        <v>658</v>
      </c>
      <c r="D707" s="83">
        <v>3.0</v>
      </c>
      <c r="E707" s="149" t="str">
        <f>HYPERLINK("https://docs.google.com/document/d/1xNflXIptSGskClPFPE56A3YYOX2IIBdpzU99R3Lx7jg/edit?usp=sharing","02")</f>
        <v>02</v>
      </c>
      <c r="F707" s="89"/>
      <c r="G707" s="100" t="s">
        <v>315</v>
      </c>
      <c r="H707" s="100" t="s">
        <v>315</v>
      </c>
      <c r="I707" s="100" t="s">
        <v>314</v>
      </c>
      <c r="J707" s="83" t="s">
        <v>63</v>
      </c>
      <c r="K707" s="83" t="s">
        <v>46</v>
      </c>
      <c r="L707" s="101" t="s">
        <v>340</v>
      </c>
    </row>
    <row r="708">
      <c r="A708" s="86"/>
      <c r="B708" s="86"/>
      <c r="C708" s="86"/>
      <c r="D708" s="86"/>
      <c r="E708" s="142" t="str">
        <f>HYPERLINK("https://docs.google.com/document/d/1ESXvmhCO61ibv30LRF2A6iiOePKYr_yFVsTXHFeFSZw/edit?usp=sharing","05")</f>
        <v>05</v>
      </c>
      <c r="F708" s="107"/>
      <c r="G708" s="91" t="s">
        <v>314</v>
      </c>
      <c r="H708" s="91" t="s">
        <v>315</v>
      </c>
      <c r="I708" s="91" t="s">
        <v>314</v>
      </c>
      <c r="J708" s="86"/>
      <c r="K708" s="86"/>
      <c r="L708" s="86"/>
    </row>
    <row r="709">
      <c r="A709" s="86"/>
      <c r="B709" s="86"/>
      <c r="C709" s="7"/>
      <c r="D709" s="7"/>
      <c r="E709" s="146" t="str">
        <f>HYPERLINK("https://docs.google.com/document/d/1OIGIVWwRSwr8oKmbuib6eaGDIOIlBruDPQpFEhmbeko/edit?usp=sharing","06")</f>
        <v>06</v>
      </c>
      <c r="F709" s="104" t="s">
        <v>380</v>
      </c>
      <c r="G709" s="104" t="s">
        <v>334</v>
      </c>
      <c r="H709" s="104" t="s">
        <v>315</v>
      </c>
      <c r="I709" s="104" t="s">
        <v>314</v>
      </c>
      <c r="J709" s="7"/>
      <c r="K709" s="7"/>
      <c r="L709" s="7"/>
    </row>
    <row r="710">
      <c r="A710" s="86"/>
      <c r="B710" s="86"/>
      <c r="C710" s="83" t="s">
        <v>162</v>
      </c>
      <c r="D710" s="83">
        <v>3.0</v>
      </c>
      <c r="E710" s="149" t="str">
        <f>HYPERLINK("https://docs.google.com/document/d/1xNflXIptSGskClPFPE56A3YYOX2IIBdpzU99R3Lx7jg/edit?usp=sharing","02")</f>
        <v>02</v>
      </c>
      <c r="F710" s="89"/>
      <c r="G710" s="100" t="s">
        <v>315</v>
      </c>
      <c r="H710" s="100" t="s">
        <v>315</v>
      </c>
      <c r="I710" s="100" t="s">
        <v>314</v>
      </c>
      <c r="J710" s="83" t="s">
        <v>71</v>
      </c>
      <c r="K710" s="83" t="s">
        <v>37</v>
      </c>
      <c r="L710" s="94"/>
    </row>
    <row r="711">
      <c r="A711" s="86"/>
      <c r="B711" s="86"/>
      <c r="C711" s="86"/>
      <c r="D711" s="86"/>
      <c r="E711" s="142" t="str">
        <f>HYPERLINK("https://docs.google.com/document/d/1ESXvmhCO61ibv30LRF2A6iiOePKYr_yFVsTXHFeFSZw/edit?usp=sharing","05")</f>
        <v>05</v>
      </c>
      <c r="F711" s="107"/>
      <c r="G711" s="91" t="s">
        <v>315</v>
      </c>
      <c r="H711" s="91" t="s">
        <v>315</v>
      </c>
      <c r="I711" s="91" t="s">
        <v>314</v>
      </c>
      <c r="J711" s="86"/>
      <c r="K711" s="86"/>
      <c r="L711" s="86"/>
    </row>
    <row r="712">
      <c r="A712" s="86"/>
      <c r="B712" s="86"/>
      <c r="C712" s="7"/>
      <c r="D712" s="7"/>
      <c r="E712" s="146" t="str">
        <f>HYPERLINK("https://docs.google.com/document/d/1EZNLuyOvrxHdBeOLHsjPaNgalt1uWE4mYY-ZPL1Bhxw/edit?usp=sharing","07")</f>
        <v>07</v>
      </c>
      <c r="F712" s="97"/>
      <c r="G712" s="104" t="s">
        <v>315</v>
      </c>
      <c r="H712" s="104" t="s">
        <v>314</v>
      </c>
      <c r="I712" s="104" t="s">
        <v>315</v>
      </c>
      <c r="J712" s="7"/>
      <c r="K712" s="7"/>
      <c r="L712" s="7"/>
    </row>
    <row r="713">
      <c r="A713" s="86"/>
      <c r="B713" s="86"/>
      <c r="C713" s="83" t="s">
        <v>250</v>
      </c>
      <c r="D713" s="83">
        <v>4.0</v>
      </c>
      <c r="E713" s="149" t="str">
        <f>HYPERLINK("https://docs.google.com/document/d/1TmVMSoLE3d9UDcoQ1TFfHdwNyaqexESNeCu-cNnntIw/edit?usp=sharing","04")</f>
        <v>04</v>
      </c>
      <c r="F713" s="89"/>
      <c r="G713" s="100" t="s">
        <v>315</v>
      </c>
      <c r="H713" s="100" t="s">
        <v>314</v>
      </c>
      <c r="I713" s="100" t="s">
        <v>315</v>
      </c>
      <c r="J713" s="83" t="s">
        <v>44</v>
      </c>
      <c r="K713" s="83" t="s">
        <v>24</v>
      </c>
      <c r="L713" s="101" t="s">
        <v>340</v>
      </c>
    </row>
    <row r="714">
      <c r="A714" s="86"/>
      <c r="B714" s="86"/>
      <c r="C714" s="86"/>
      <c r="D714" s="86"/>
      <c r="E714" s="142" t="str">
        <f>HYPERLINK("https://docs.google.com/document/d/1OIGIVWwRSwr8oKmbuib6eaGDIOIlBruDPQpFEhmbeko/edit?usp=sharing","06")</f>
        <v>06</v>
      </c>
      <c r="F714" s="91" t="s">
        <v>380</v>
      </c>
      <c r="G714" s="91" t="s">
        <v>334</v>
      </c>
      <c r="H714" s="91" t="s">
        <v>315</v>
      </c>
      <c r="I714" s="91" t="s">
        <v>314</v>
      </c>
      <c r="J714" s="86"/>
      <c r="K714" s="86"/>
      <c r="L714" s="86"/>
    </row>
    <row r="715">
      <c r="A715" s="86"/>
      <c r="B715" s="86"/>
      <c r="C715" s="86"/>
      <c r="D715" s="86"/>
      <c r="E715" s="142" t="str">
        <f>HYPERLINK("https://docs.google.com/document/d/1EZNLuyOvrxHdBeOLHsjPaNgalt1uWE4mYY-ZPL1Bhxw/edit?usp=sharing","07")</f>
        <v>07</v>
      </c>
      <c r="F715" s="91"/>
      <c r="G715" s="91" t="s">
        <v>314</v>
      </c>
      <c r="H715" s="91" t="s">
        <v>315</v>
      </c>
      <c r="I715" s="91" t="s">
        <v>314</v>
      </c>
      <c r="J715" s="86"/>
      <c r="K715" s="86"/>
      <c r="L715" s="86"/>
    </row>
    <row r="716">
      <c r="A716" s="86"/>
      <c r="B716" s="86"/>
      <c r="C716" s="7"/>
      <c r="D716" s="7"/>
      <c r="E716" s="146" t="str">
        <f>HYPERLINK("https://docs.google.com/document/d/1BxCdEgmhbBb-tYVhSAJFo21hAmHWBX7-wZfB1vJ4PAg/edit?usp=sharing","10")</f>
        <v>10</v>
      </c>
      <c r="F716" s="104"/>
      <c r="G716" s="104" t="s">
        <v>314</v>
      </c>
      <c r="H716" s="104" t="s">
        <v>314</v>
      </c>
      <c r="I716" s="104" t="s">
        <v>315</v>
      </c>
      <c r="J716" s="7"/>
      <c r="K716" s="7"/>
      <c r="L716" s="7"/>
    </row>
    <row r="717">
      <c r="A717" s="86"/>
      <c r="B717" s="86"/>
      <c r="C717" s="83" t="s">
        <v>184</v>
      </c>
      <c r="D717" s="83">
        <v>2.0</v>
      </c>
      <c r="E717" s="149" t="str">
        <f>HYPERLINK("https://docs.google.com/document/d/1ESXvmhCO61ibv30LRF2A6iiOePKYr_yFVsTXHFeFSZw/edit?usp=sharing","05")</f>
        <v>05</v>
      </c>
      <c r="F717" s="89"/>
      <c r="G717" s="100" t="s">
        <v>315</v>
      </c>
      <c r="H717" s="100" t="s">
        <v>315</v>
      </c>
      <c r="I717" s="100" t="s">
        <v>314</v>
      </c>
      <c r="J717" s="83" t="s">
        <v>65</v>
      </c>
      <c r="K717" s="83" t="s">
        <v>40</v>
      </c>
      <c r="L717" s="101" t="s">
        <v>340</v>
      </c>
    </row>
    <row r="718">
      <c r="A718" s="86"/>
      <c r="B718" s="86"/>
      <c r="C718" s="7"/>
      <c r="D718" s="7"/>
      <c r="E718" s="146" t="str">
        <f>HYPERLINK("https://docs.google.com/document/d/1OIGIVWwRSwr8oKmbuib6eaGDIOIlBruDPQpFEhmbeko/edit?usp=sharing","06")</f>
        <v>06</v>
      </c>
      <c r="F718" s="104" t="s">
        <v>380</v>
      </c>
      <c r="G718" s="104" t="s">
        <v>334</v>
      </c>
      <c r="H718" s="104" t="s">
        <v>315</v>
      </c>
      <c r="I718" s="104" t="s">
        <v>314</v>
      </c>
      <c r="J718" s="7"/>
      <c r="K718" s="7"/>
      <c r="L718" s="7"/>
    </row>
    <row r="719">
      <c r="A719" s="86"/>
      <c r="B719" s="86"/>
      <c r="C719" s="83" t="s">
        <v>168</v>
      </c>
      <c r="D719" s="83">
        <v>2.0</v>
      </c>
      <c r="E719" s="149" t="str">
        <f>HYPERLINK("https://docs.google.com/document/d/1eyTXy1OnT9yFNDZBW1w4CTnMaWh-NRE3GjX9xtydlpw/edit?usp=sharing","03")</f>
        <v>03</v>
      </c>
      <c r="F719" s="100" t="s">
        <v>380</v>
      </c>
      <c r="G719" s="100" t="s">
        <v>315</v>
      </c>
      <c r="H719" s="100" t="s">
        <v>315</v>
      </c>
      <c r="I719" s="100" t="s">
        <v>314</v>
      </c>
      <c r="J719" s="83" t="s">
        <v>67</v>
      </c>
      <c r="K719" s="83" t="s">
        <v>45</v>
      </c>
      <c r="L719" s="122"/>
    </row>
    <row r="720">
      <c r="A720" s="86"/>
      <c r="B720" s="86"/>
      <c r="C720" s="7"/>
      <c r="D720" s="7"/>
      <c r="E720" s="146" t="str">
        <f>HYPERLINK("https://docs.google.com/document/d/1coRnX3bMXJH2vqmh8I29HI0ZErCunmQ7E_NHNm9KFRs/edit?usp=sharing","12")</f>
        <v>12</v>
      </c>
      <c r="F720" s="104" t="s">
        <v>659</v>
      </c>
      <c r="G720" s="104" t="s">
        <v>315</v>
      </c>
      <c r="H720" s="104" t="s">
        <v>314</v>
      </c>
      <c r="I720" s="104" t="s">
        <v>315</v>
      </c>
      <c r="J720" s="7"/>
      <c r="K720" s="7"/>
      <c r="L720" s="7"/>
    </row>
    <row r="721">
      <c r="A721" s="86"/>
      <c r="B721" s="86"/>
      <c r="C721" s="10" t="s">
        <v>284</v>
      </c>
      <c r="D721" s="10">
        <v>1.0</v>
      </c>
      <c r="E721" s="139" t="str">
        <f>HYPERLINK("https://docs.google.com/document/d/1BxCdEgmhbBb-tYVhSAJFo21hAmHWBX7-wZfB1vJ4PAg/edit?usp=sharing","10")</f>
        <v>10</v>
      </c>
      <c r="F721" s="27"/>
      <c r="G721" s="10" t="s">
        <v>314</v>
      </c>
      <c r="H721" s="10" t="s">
        <v>314</v>
      </c>
      <c r="I721" s="10" t="s">
        <v>315</v>
      </c>
      <c r="J721" s="121" t="s">
        <v>55</v>
      </c>
      <c r="K721" s="121" t="s">
        <v>54</v>
      </c>
      <c r="L721" s="136"/>
    </row>
    <row r="722">
      <c r="A722" s="86"/>
      <c r="B722" s="86"/>
      <c r="C722" s="83" t="s">
        <v>293</v>
      </c>
      <c r="D722" s="83">
        <v>7.0</v>
      </c>
      <c r="E722" s="149" t="str">
        <f>HYPERLINK("https://docs.google.com/document/d/1xNflXIptSGskClPFPE56A3YYOX2IIBdpzU99R3Lx7jg/edit?usp=sharing","02")</f>
        <v>02</v>
      </c>
      <c r="F722" s="89"/>
      <c r="G722" s="100" t="s">
        <v>314</v>
      </c>
      <c r="H722" s="100" t="s">
        <v>314</v>
      </c>
      <c r="I722" s="100" t="s">
        <v>315</v>
      </c>
      <c r="J722" s="83" t="s">
        <v>62</v>
      </c>
      <c r="K722" s="83" t="s">
        <v>33</v>
      </c>
      <c r="L722" s="153" t="s">
        <v>660</v>
      </c>
    </row>
    <row r="723">
      <c r="A723" s="86"/>
      <c r="B723" s="86"/>
      <c r="C723" s="86"/>
      <c r="D723" s="86"/>
      <c r="E723" s="142" t="str">
        <f>HYPERLINK("https://docs.google.com/document/d/1TmVMSoLE3d9UDcoQ1TFfHdwNyaqexESNeCu-cNnntIw/edit?usp=sharing","04")</f>
        <v>04</v>
      </c>
      <c r="F723" s="107"/>
      <c r="G723" s="91" t="s">
        <v>314</v>
      </c>
      <c r="H723" s="91" t="s">
        <v>315</v>
      </c>
      <c r="I723" s="91" t="s">
        <v>314</v>
      </c>
      <c r="J723" s="86"/>
      <c r="K723" s="86"/>
      <c r="L723" s="102"/>
    </row>
    <row r="724">
      <c r="A724" s="86"/>
      <c r="B724" s="86"/>
      <c r="C724" s="86"/>
      <c r="D724" s="86"/>
      <c r="E724" s="142" t="str">
        <f>HYPERLINK("https://docs.google.com/document/d/1EZNLuyOvrxHdBeOLHsjPaNgalt1uWE4mYY-ZPL1Bhxw/edit?usp=sharing","07")</f>
        <v>07</v>
      </c>
      <c r="F724" s="107"/>
      <c r="G724" s="91" t="s">
        <v>314</v>
      </c>
      <c r="H724" s="91" t="s">
        <v>315</v>
      </c>
      <c r="I724" s="91" t="s">
        <v>314</v>
      </c>
      <c r="J724" s="86"/>
      <c r="K724" s="86"/>
      <c r="L724" s="102"/>
    </row>
    <row r="725">
      <c r="A725" s="86"/>
      <c r="B725" s="86"/>
      <c r="C725" s="86"/>
      <c r="D725" s="86"/>
      <c r="E725" s="142" t="str">
        <f>HYPERLINK("https://docs.google.com/document/d/1__5wN8v5dkQNemfA5S7EEeXOUh5JADG8xXSu-X6wlXg/edit?usp=sharing","08")</f>
        <v>08</v>
      </c>
      <c r="F725" s="91" t="s">
        <v>9</v>
      </c>
      <c r="G725" s="91" t="s">
        <v>315</v>
      </c>
      <c r="H725" s="91" t="s">
        <v>314</v>
      </c>
      <c r="I725" s="91" t="s">
        <v>315</v>
      </c>
      <c r="J725" s="86"/>
      <c r="K725" s="86"/>
      <c r="L725" s="102"/>
    </row>
    <row r="726">
      <c r="A726" s="86"/>
      <c r="B726" s="86"/>
      <c r="C726" s="86"/>
      <c r="D726" s="86"/>
      <c r="E726" s="142" t="str">
        <f>HYPERLINK("https://docs.google.com/document/d/1-vEiIt1hGI9Q9Gnz0XigcX71zJfBUaBIE3_8Sa9kYog/edit?usp=sharing","09")</f>
        <v>09</v>
      </c>
      <c r="F726" s="91"/>
      <c r="G726" s="91" t="s">
        <v>315</v>
      </c>
      <c r="H726" s="91" t="s">
        <v>314</v>
      </c>
      <c r="I726" s="91" t="s">
        <v>315</v>
      </c>
      <c r="J726" s="86"/>
      <c r="K726" s="86"/>
      <c r="L726" s="102"/>
    </row>
    <row r="727">
      <c r="A727" s="86"/>
      <c r="B727" s="86"/>
      <c r="C727" s="86"/>
      <c r="D727" s="86"/>
      <c r="E727" s="142" t="str">
        <f>HYPERLINK("https://docs.google.com/document/d/1ZRExxT7hmf87y-AfdHWX2bIz5ujkvY3tFa6x9jOj00U/edit?usp=sharing","11")</f>
        <v>11</v>
      </c>
      <c r="F727" s="91"/>
      <c r="G727" s="91" t="s">
        <v>314</v>
      </c>
      <c r="H727" s="91" t="s">
        <v>314</v>
      </c>
      <c r="I727" s="91" t="s">
        <v>315</v>
      </c>
      <c r="J727" s="86"/>
      <c r="K727" s="86"/>
      <c r="L727" s="102"/>
    </row>
    <row r="728">
      <c r="A728" s="86"/>
      <c r="B728" s="86"/>
      <c r="C728" s="7"/>
      <c r="D728" s="7"/>
      <c r="E728" s="146" t="str">
        <f>HYPERLINK("https://docs.google.com/document/d/1coRnX3bMXJH2vqmh8I29HI0ZErCunmQ7E_NHNm9KFRs/edit?usp=sharing","12")</f>
        <v>12</v>
      </c>
      <c r="F728" s="104" t="s">
        <v>659</v>
      </c>
      <c r="G728" s="104" t="s">
        <v>314</v>
      </c>
      <c r="H728" s="104" t="s">
        <v>314</v>
      </c>
      <c r="I728" s="104" t="s">
        <v>315</v>
      </c>
      <c r="J728" s="7"/>
      <c r="K728" s="7"/>
      <c r="L728" s="99"/>
    </row>
    <row r="729">
      <c r="A729" s="86"/>
      <c r="B729" s="86"/>
      <c r="C729" s="10" t="s">
        <v>173</v>
      </c>
      <c r="D729" s="10">
        <v>1.0</v>
      </c>
      <c r="E729" s="139" t="str">
        <f>HYPERLINK("https://docs.google.com/document/d/1xNflXIptSGskClPFPE56A3YYOX2IIBdpzU99R3Lx7jg/edit?usp=sharing","02")</f>
        <v>02</v>
      </c>
      <c r="F729" s="27"/>
      <c r="G729" s="10" t="s">
        <v>315</v>
      </c>
      <c r="H729" s="10" t="s">
        <v>315</v>
      </c>
      <c r="I729" s="10" t="s">
        <v>314</v>
      </c>
      <c r="J729" s="10" t="s">
        <v>39</v>
      </c>
      <c r="K729" s="10" t="s">
        <v>31</v>
      </c>
      <c r="L729" s="85"/>
    </row>
    <row r="730">
      <c r="A730" s="86"/>
      <c r="B730" s="86"/>
      <c r="C730" s="83" t="s">
        <v>72</v>
      </c>
      <c r="D730" s="83">
        <v>2.0</v>
      </c>
      <c r="E730" s="149" t="str">
        <f>HYPERLINK("https://docs.google.com/document/d/1eyTXy1OnT9yFNDZBW1w4CTnMaWh-NRE3GjX9xtydlpw/edit?usp=sharing","03")</f>
        <v>03</v>
      </c>
      <c r="F730" s="100" t="s">
        <v>380</v>
      </c>
      <c r="G730" s="100" t="s">
        <v>315</v>
      </c>
      <c r="H730" s="100" t="s">
        <v>315</v>
      </c>
      <c r="I730" s="100" t="s">
        <v>314</v>
      </c>
      <c r="J730" s="83" t="s">
        <v>36</v>
      </c>
      <c r="K730" s="83" t="s">
        <v>28</v>
      </c>
      <c r="L730" s="101" t="s">
        <v>340</v>
      </c>
    </row>
    <row r="731">
      <c r="A731" s="7"/>
      <c r="B731" s="7"/>
      <c r="C731" s="7"/>
      <c r="D731" s="7"/>
      <c r="E731" s="146" t="str">
        <f>HYPERLINK("https://docs.google.com/document/d/1TmVMSoLE3d9UDcoQ1TFfHdwNyaqexESNeCu-cNnntIw/edit?usp=sharing","04")</f>
        <v>04</v>
      </c>
      <c r="F731" s="97"/>
      <c r="G731" s="104" t="s">
        <v>314</v>
      </c>
      <c r="H731" s="104" t="s">
        <v>315</v>
      </c>
      <c r="I731" s="104" t="s">
        <v>314</v>
      </c>
      <c r="J731" s="7"/>
      <c r="K731" s="7"/>
      <c r="L731" s="7"/>
    </row>
    <row r="732">
      <c r="A732" s="82" t="str">
        <f>HYPERLINK("https://docs.google.com/spreadsheets/d/1q-5bbq9txg93Y0eUACxRPTIN5PuRjeDVpNDfeXEw4iE/edit?usp=sharing","35")</f>
        <v>35</v>
      </c>
      <c r="B732" s="83">
        <v>17.0</v>
      </c>
      <c r="C732" s="10" t="s">
        <v>661</v>
      </c>
      <c r="D732" s="10">
        <v>1.0</v>
      </c>
      <c r="E732" s="84" t="str">
        <f>HYPERLINK("https://docs.google.com/document/d/10VlcldzB0CxmaKHWk95x3Rtw197KseHvkBFIazsvZ6U/edit?usp=sharing","01")</f>
        <v>01</v>
      </c>
      <c r="F732" s="10" t="s">
        <v>546</v>
      </c>
      <c r="G732" s="10" t="s">
        <v>314</v>
      </c>
      <c r="H732" s="10" t="s">
        <v>315</v>
      </c>
      <c r="I732" s="10" t="s">
        <v>314</v>
      </c>
      <c r="J732" s="10" t="s">
        <v>96</v>
      </c>
      <c r="K732" s="10" t="s">
        <v>60</v>
      </c>
      <c r="L732" s="85"/>
    </row>
    <row r="733">
      <c r="A733" s="86"/>
      <c r="B733" s="86"/>
      <c r="C733" s="10" t="s">
        <v>662</v>
      </c>
      <c r="D733" s="10">
        <v>1.0</v>
      </c>
      <c r="E733" s="84" t="str">
        <f t="shared" ref="E733:E735" si="31">HYPERLINK("https://docs.google.com/document/d/1E7xA0E5poxAGe0YO0mOgjFieW1-67WZndgJnFq3dcVA/edit?usp=sharing","02")</f>
        <v>02</v>
      </c>
      <c r="F733" s="27"/>
      <c r="G733" s="10" t="s">
        <v>315</v>
      </c>
      <c r="H733" s="10" t="s">
        <v>315</v>
      </c>
      <c r="I733" s="10" t="s">
        <v>314</v>
      </c>
      <c r="J733" s="10" t="s">
        <v>114</v>
      </c>
      <c r="K733" s="10" t="s">
        <v>60</v>
      </c>
      <c r="L733" s="85"/>
    </row>
    <row r="734">
      <c r="A734" s="86"/>
      <c r="B734" s="86"/>
      <c r="C734" s="10" t="s">
        <v>663</v>
      </c>
      <c r="D734" s="10">
        <v>1.0</v>
      </c>
      <c r="E734" s="84" t="str">
        <f t="shared" si="31"/>
        <v>02</v>
      </c>
      <c r="F734" s="27"/>
      <c r="G734" s="10" t="s">
        <v>315</v>
      </c>
      <c r="H734" s="10" t="s">
        <v>315</v>
      </c>
      <c r="I734" s="10" t="s">
        <v>314</v>
      </c>
      <c r="J734" s="10" t="s">
        <v>105</v>
      </c>
      <c r="K734" s="10" t="s">
        <v>60</v>
      </c>
      <c r="L734" s="85"/>
    </row>
    <row r="735">
      <c r="A735" s="86"/>
      <c r="B735" s="86"/>
      <c r="C735" s="83" t="s">
        <v>664</v>
      </c>
      <c r="D735" s="83">
        <v>2.0</v>
      </c>
      <c r="E735" s="154" t="str">
        <f t="shared" si="31"/>
        <v>02</v>
      </c>
      <c r="F735" s="89"/>
      <c r="G735" s="100" t="s">
        <v>315</v>
      </c>
      <c r="H735" s="100" t="s">
        <v>315</v>
      </c>
      <c r="I735" s="92" t="s">
        <v>314</v>
      </c>
      <c r="J735" s="83" t="s">
        <v>85</v>
      </c>
      <c r="K735" s="83" t="s">
        <v>84</v>
      </c>
      <c r="L735" s="94"/>
    </row>
    <row r="736">
      <c r="A736" s="86"/>
      <c r="B736" s="86"/>
      <c r="C736" s="7"/>
      <c r="D736" s="7"/>
      <c r="E736" s="155" t="str">
        <f>HYPERLINK("https://docs.google.com/document/d/1VDO9Aqqg8JJ69ftJvQw35r_rRMsEbBy4Vp9PhZBi-YU/edit?usp=sharing","07")</f>
        <v>07</v>
      </c>
      <c r="F736" s="104" t="s">
        <v>9</v>
      </c>
      <c r="G736" s="104" t="s">
        <v>315</v>
      </c>
      <c r="H736" s="104" t="s">
        <v>315</v>
      </c>
      <c r="I736" s="36" t="s">
        <v>315</v>
      </c>
      <c r="J736" s="7"/>
      <c r="K736" s="7"/>
      <c r="L736" s="7"/>
    </row>
    <row r="737">
      <c r="A737" s="86"/>
      <c r="B737" s="86"/>
      <c r="C737" s="83" t="s">
        <v>665</v>
      </c>
      <c r="D737" s="83">
        <v>2.0</v>
      </c>
      <c r="E737" s="88" t="str">
        <f>HYPERLINK("https://docs.google.com/document/d/10VlcldzB0CxmaKHWk95x3Rtw197KseHvkBFIazsvZ6U/edit?usp=sharing","01")</f>
        <v>01</v>
      </c>
      <c r="F737" s="100" t="s">
        <v>546</v>
      </c>
      <c r="G737" s="100" t="s">
        <v>315</v>
      </c>
      <c r="H737" s="100" t="s">
        <v>315</v>
      </c>
      <c r="I737" s="100" t="s">
        <v>314</v>
      </c>
      <c r="J737" s="83" t="s">
        <v>68</v>
      </c>
      <c r="K737" s="83" t="s">
        <v>48</v>
      </c>
      <c r="L737" s="94"/>
    </row>
    <row r="738">
      <c r="A738" s="86"/>
      <c r="B738" s="86"/>
      <c r="C738" s="7"/>
      <c r="D738" s="7"/>
      <c r="E738" s="96" t="str">
        <f>HYPERLINK("https://docs.google.com/document/d/1lSYVnW5yWbAgnQaj4aK9BiWFV1w4HB1yYKsIoLv25NQ/edit?usp=sharing","05")</f>
        <v>05</v>
      </c>
      <c r="F738" s="104"/>
      <c r="G738" s="104" t="s">
        <v>315</v>
      </c>
      <c r="H738" s="104" t="s">
        <v>315</v>
      </c>
      <c r="I738" s="104" t="s">
        <v>314</v>
      </c>
      <c r="J738" s="7"/>
      <c r="K738" s="7"/>
      <c r="L738" s="7"/>
    </row>
    <row r="739">
      <c r="A739" s="86"/>
      <c r="B739" s="86"/>
      <c r="C739" s="83" t="s">
        <v>666</v>
      </c>
      <c r="D739" s="83">
        <v>6.0</v>
      </c>
      <c r="E739" s="88" t="str">
        <f>HYPERLINK("https://docs.google.com/document/d/1PwCv7Y7NHKM_rukV6AoQR9CfTES49whmhcTQK-BiJEY/edit?usp=sharing","03")</f>
        <v>03</v>
      </c>
      <c r="F739" s="89"/>
      <c r="G739" s="100" t="s">
        <v>315</v>
      </c>
      <c r="H739" s="100" t="s">
        <v>315</v>
      </c>
      <c r="I739" s="100" t="s">
        <v>314</v>
      </c>
      <c r="J739" s="83" t="s">
        <v>83</v>
      </c>
      <c r="K739" s="83" t="s">
        <v>43</v>
      </c>
      <c r="L739" s="101" t="s">
        <v>660</v>
      </c>
    </row>
    <row r="740">
      <c r="A740" s="86"/>
      <c r="B740" s="86"/>
      <c r="C740" s="86"/>
      <c r="D740" s="86"/>
      <c r="E740" s="142" t="str">
        <f>HYPERLINK("https://docs.google.com/document/d/1MFM3Y4gyynJmv_ekmkwWm7VJvcKzZnL5jPEQxJWYkXE/edit?usp=sharing","04")</f>
        <v>04</v>
      </c>
      <c r="F740" s="91" t="s">
        <v>380</v>
      </c>
      <c r="G740" s="91" t="s">
        <v>314</v>
      </c>
      <c r="H740" s="91" t="s">
        <v>315</v>
      </c>
      <c r="I740" s="91" t="s">
        <v>314</v>
      </c>
      <c r="J740" s="86"/>
      <c r="K740" s="86"/>
      <c r="L740" s="86"/>
    </row>
    <row r="741">
      <c r="A741" s="86"/>
      <c r="B741" s="86"/>
      <c r="C741" s="86"/>
      <c r="D741" s="86"/>
      <c r="E741" s="106" t="str">
        <f>HYPERLINK("https://docs.google.com/document/d/1lSYVnW5yWbAgnQaj4aK9BiWFV1w4HB1yYKsIoLv25NQ/edit?usp=sharing","05")</f>
        <v>05</v>
      </c>
      <c r="F741" s="107"/>
      <c r="G741" s="91" t="s">
        <v>314</v>
      </c>
      <c r="H741" s="91" t="s">
        <v>314</v>
      </c>
      <c r="I741" s="91" t="s">
        <v>315</v>
      </c>
      <c r="J741" s="86"/>
      <c r="K741" s="86"/>
      <c r="L741" s="86"/>
    </row>
    <row r="742">
      <c r="A742" s="86"/>
      <c r="B742" s="86"/>
      <c r="C742" s="86"/>
      <c r="D742" s="86"/>
      <c r="E742" s="106" t="str">
        <f>HYPERLINK("https://docs.google.com/document/d/1VDO9Aqqg8JJ69ftJvQw35r_rRMsEbBy4Vp9PhZBi-YU/edit?usp=sharing","07")</f>
        <v>07</v>
      </c>
      <c r="F742" s="91" t="s">
        <v>9</v>
      </c>
      <c r="G742" s="91" t="s">
        <v>315</v>
      </c>
      <c r="H742" s="91" t="s">
        <v>314</v>
      </c>
      <c r="I742" s="91" t="s">
        <v>315</v>
      </c>
      <c r="J742" s="86"/>
      <c r="K742" s="86"/>
      <c r="L742" s="86"/>
    </row>
    <row r="743">
      <c r="A743" s="86"/>
      <c r="B743" s="86"/>
      <c r="C743" s="86"/>
      <c r="D743" s="86"/>
      <c r="E743" s="106" t="str">
        <f>HYPERLINK("https://docs.google.com/document/d/1qbEJ2d8XhUpBFnlATBTIPhSTNjBagOuHNclDVokn-pA/edit?usp=sharing","09")</f>
        <v>09</v>
      </c>
      <c r="F743" s="91"/>
      <c r="G743" s="91" t="s">
        <v>315</v>
      </c>
      <c r="H743" s="91" t="s">
        <v>314</v>
      </c>
      <c r="I743" s="91" t="s">
        <v>315</v>
      </c>
      <c r="J743" s="86"/>
      <c r="K743" s="86"/>
      <c r="L743" s="86"/>
    </row>
    <row r="744">
      <c r="A744" s="86"/>
      <c r="B744" s="86"/>
      <c r="C744" s="7"/>
      <c r="D744" s="7"/>
      <c r="E744" s="96" t="str">
        <f>HYPERLINK("https://docs.google.com/document/d/1u_ShgYrcW0qL3uFIwjr18Ix5CHIoStslePGj1lPQrGs/edit?usp=sharing","10")</f>
        <v>10</v>
      </c>
      <c r="F744" s="104" t="s">
        <v>353</v>
      </c>
      <c r="G744" s="104" t="s">
        <v>314</v>
      </c>
      <c r="H744" s="104" t="s">
        <v>314</v>
      </c>
      <c r="I744" s="104" t="s">
        <v>315</v>
      </c>
      <c r="J744" s="7"/>
      <c r="K744" s="7"/>
      <c r="L744" s="7"/>
    </row>
    <row r="745">
      <c r="A745" s="86"/>
      <c r="B745" s="86"/>
      <c r="C745" s="10" t="s">
        <v>667</v>
      </c>
      <c r="D745" s="10">
        <v>1.0</v>
      </c>
      <c r="E745" s="139" t="str">
        <f>HYPERLINK("https://docs.google.com/document/d/1FfLLyrhIjfE4lVUapwSaBWerUUJcatCR5i8eT5CizvE/edit?usp=sharing","08")</f>
        <v>08</v>
      </c>
      <c r="F745" s="27"/>
      <c r="G745" s="10" t="s">
        <v>314</v>
      </c>
      <c r="H745" s="10" t="s">
        <v>314</v>
      </c>
      <c r="I745" s="10" t="s">
        <v>315</v>
      </c>
      <c r="J745" s="10" t="s">
        <v>56</v>
      </c>
      <c r="K745" s="10" t="s">
        <v>37</v>
      </c>
      <c r="L745" s="85"/>
    </row>
    <row r="746">
      <c r="A746" s="86"/>
      <c r="B746" s="86"/>
      <c r="C746" s="83" t="s">
        <v>668</v>
      </c>
      <c r="D746" s="83">
        <v>2.0</v>
      </c>
      <c r="E746" s="88" t="str">
        <f>HYPERLINK("https://docs.google.com/document/d/1E7xA0E5poxAGe0YO0mOgjFieW1-67WZndgJnFq3dcVA/edit?usp=sharing","02")</f>
        <v>02</v>
      </c>
      <c r="F746" s="89"/>
      <c r="G746" s="100" t="s">
        <v>315</v>
      </c>
      <c r="H746" s="100" t="s">
        <v>315</v>
      </c>
      <c r="I746" s="100" t="s">
        <v>314</v>
      </c>
      <c r="J746" s="83" t="s">
        <v>70</v>
      </c>
      <c r="K746" s="83" t="s">
        <v>46</v>
      </c>
      <c r="L746" s="101" t="s">
        <v>340</v>
      </c>
    </row>
    <row r="747">
      <c r="A747" s="86"/>
      <c r="B747" s="86"/>
      <c r="C747" s="7"/>
      <c r="D747" s="7"/>
      <c r="E747" s="96" t="str">
        <f t="shared" ref="E747:E748" si="32">HYPERLINK("https://docs.google.com/document/d/1PwCv7Y7NHKM_rukV6AoQR9CfTES49whmhcTQK-BiJEY/edit?usp=sharing","03")</f>
        <v>03</v>
      </c>
      <c r="F747" s="97"/>
      <c r="G747" s="104" t="s">
        <v>315</v>
      </c>
      <c r="H747" s="104" t="s">
        <v>315</v>
      </c>
      <c r="I747" s="104" t="s">
        <v>314</v>
      </c>
      <c r="J747" s="7"/>
      <c r="K747" s="7"/>
      <c r="L747" s="7"/>
    </row>
    <row r="748">
      <c r="A748" s="7"/>
      <c r="B748" s="7"/>
      <c r="C748" s="10" t="s">
        <v>669</v>
      </c>
      <c r="D748" s="10">
        <v>1.0</v>
      </c>
      <c r="E748" s="84" t="str">
        <f t="shared" si="32"/>
        <v>03</v>
      </c>
      <c r="F748" s="27"/>
      <c r="G748" s="10" t="s">
        <v>315</v>
      </c>
      <c r="H748" s="10" t="s">
        <v>315</v>
      </c>
      <c r="I748" s="10" t="s">
        <v>314</v>
      </c>
      <c r="J748" s="10" t="s">
        <v>32</v>
      </c>
      <c r="K748" s="10" t="s">
        <v>33</v>
      </c>
      <c r="L748" s="85"/>
    </row>
    <row r="749">
      <c r="A749" s="82" t="str">
        <f>HYPERLINK("https://drive.google.com/open?id=1Hf_PbZTXAuooCoiF7c3Bz80t5-zCjdWHF8wQ_HyodNs","36")</f>
        <v>36</v>
      </c>
      <c r="B749" s="83">
        <v>49.0</v>
      </c>
      <c r="C749" s="10" t="s">
        <v>670</v>
      </c>
      <c r="D749" s="10">
        <v>1.0</v>
      </c>
      <c r="E749" s="84" t="str">
        <f>HYPERLINK("https://drive.google.com/open?id=1_qeDY_isB57pK7njYVoYwPIMeJlET1NfmX7cymBJrns","01")</f>
        <v>01</v>
      </c>
      <c r="F749" s="10" t="s">
        <v>546</v>
      </c>
      <c r="G749" s="10" t="s">
        <v>314</v>
      </c>
      <c r="H749" s="10" t="s">
        <v>315</v>
      </c>
      <c r="I749" s="10" t="s">
        <v>314</v>
      </c>
      <c r="J749" s="10" t="s">
        <v>124</v>
      </c>
      <c r="K749" s="10" t="s">
        <v>60</v>
      </c>
      <c r="L749" s="85"/>
    </row>
    <row r="750">
      <c r="A750" s="86"/>
      <c r="B750" s="86"/>
      <c r="C750" s="10" t="s">
        <v>671</v>
      </c>
      <c r="D750" s="10">
        <v>1.0</v>
      </c>
      <c r="E750" s="84" t="str">
        <f>HYPERLINK("https://drive.google.com/open?id=1FE5BuYZzNtHZ8iq66FBeaLKqGVHqbtzWPvDKJCXmilY","04")</f>
        <v>04</v>
      </c>
      <c r="F750" s="27"/>
      <c r="G750" s="10" t="s">
        <v>315</v>
      </c>
      <c r="H750" s="10" t="s">
        <v>315</v>
      </c>
      <c r="I750" s="10" t="s">
        <v>314</v>
      </c>
      <c r="J750" s="10" t="s">
        <v>112</v>
      </c>
      <c r="K750" s="10" t="s">
        <v>60</v>
      </c>
      <c r="L750" s="85"/>
    </row>
    <row r="751">
      <c r="A751" s="86"/>
      <c r="B751" s="86"/>
      <c r="C751" s="83" t="s">
        <v>672</v>
      </c>
      <c r="D751" s="83">
        <v>3.0</v>
      </c>
      <c r="E751" s="88" t="str">
        <f>HYPERLINK("https://drive.google.com/open?id=1_qeDY_isB57pK7njYVoYwPIMeJlET1NfmX7cymBJrns","01")</f>
        <v>01</v>
      </c>
      <c r="F751" s="100" t="s">
        <v>546</v>
      </c>
      <c r="G751" s="100" t="s">
        <v>314</v>
      </c>
      <c r="H751" s="100" t="s">
        <v>315</v>
      </c>
      <c r="I751" s="100" t="s">
        <v>314</v>
      </c>
      <c r="J751" s="83" t="s">
        <v>111</v>
      </c>
      <c r="K751" s="83" t="s">
        <v>60</v>
      </c>
      <c r="L751" s="101" t="s">
        <v>364</v>
      </c>
    </row>
    <row r="752">
      <c r="A752" s="86"/>
      <c r="B752" s="86"/>
      <c r="C752" s="86"/>
      <c r="D752" s="86"/>
      <c r="E752" s="106" t="str">
        <f>HYPERLINK("https://drive.google.com/open?id=1A93A0qJaqx9_RKvIPrcoZkvUstkPF3aD1jjhX2DNDRQ","02")</f>
        <v>02</v>
      </c>
      <c r="F752" s="91" t="s">
        <v>599</v>
      </c>
      <c r="G752" s="91" t="s">
        <v>315</v>
      </c>
      <c r="H752" s="91" t="s">
        <v>315</v>
      </c>
      <c r="I752" s="91" t="s">
        <v>314</v>
      </c>
      <c r="J752" s="86"/>
      <c r="K752" s="86"/>
      <c r="L752" s="86"/>
    </row>
    <row r="753">
      <c r="A753" s="86"/>
      <c r="B753" s="86"/>
      <c r="C753" s="7"/>
      <c r="D753" s="7"/>
      <c r="E753" s="96" t="str">
        <f>HYPERLINK("https://drive.google.com/open?id=1TLX_VVIH-fBpMcaPZxVvIZN1CBwwamPxQpF_bkumEOU","03")</f>
        <v>03</v>
      </c>
      <c r="F753" s="104" t="s">
        <v>380</v>
      </c>
      <c r="G753" s="104" t="s">
        <v>314</v>
      </c>
      <c r="H753" s="104" t="s">
        <v>314</v>
      </c>
      <c r="I753" s="104" t="s">
        <v>315</v>
      </c>
      <c r="J753" s="7"/>
      <c r="K753" s="7"/>
      <c r="L753" s="7"/>
    </row>
    <row r="754">
      <c r="A754" s="86"/>
      <c r="B754" s="86"/>
      <c r="C754" s="83" t="s">
        <v>673</v>
      </c>
      <c r="D754" s="83">
        <v>5.0</v>
      </c>
      <c r="E754" s="88" t="str">
        <f>HYPERLINK("https://drive.google.com/open?id=1_qeDY_isB57pK7njYVoYwPIMeJlET1NfmX7cymBJrns","01")</f>
        <v>01</v>
      </c>
      <c r="F754" s="100" t="s">
        <v>546</v>
      </c>
      <c r="G754" s="100" t="s">
        <v>315</v>
      </c>
      <c r="H754" s="100" t="s">
        <v>314</v>
      </c>
      <c r="I754" s="100" t="s">
        <v>315</v>
      </c>
      <c r="J754" s="83" t="s">
        <v>82</v>
      </c>
      <c r="K754" s="83" t="s">
        <v>48</v>
      </c>
      <c r="L754" s="101" t="s">
        <v>674</v>
      </c>
    </row>
    <row r="755">
      <c r="A755" s="86"/>
      <c r="B755" s="86"/>
      <c r="C755" s="86"/>
      <c r="D755" s="86"/>
      <c r="E755" s="106" t="str">
        <f>HYPERLINK("https://drive.google.com/open?id=1A93A0qJaqx9_RKvIPrcoZkvUstkPF3aD1jjhX2DNDRQ","02")</f>
        <v>02</v>
      </c>
      <c r="F755" s="91" t="s">
        <v>599</v>
      </c>
      <c r="G755" s="91" t="s">
        <v>314</v>
      </c>
      <c r="H755" s="91" t="s">
        <v>314</v>
      </c>
      <c r="I755" s="91" t="s">
        <v>315</v>
      </c>
      <c r="J755" s="86"/>
      <c r="K755" s="86"/>
      <c r="L755" s="86"/>
    </row>
    <row r="756">
      <c r="A756" s="86"/>
      <c r="B756" s="86"/>
      <c r="C756" s="86"/>
      <c r="D756" s="86"/>
      <c r="E756" s="106" t="str">
        <f>HYPERLINK("https://drive.google.com/open?id=1FE5BuYZzNtHZ8iq66FBeaLKqGVHqbtzWPvDKJCXmilY","04")</f>
        <v>04</v>
      </c>
      <c r="F756" s="107"/>
      <c r="G756" s="91" t="s">
        <v>315</v>
      </c>
      <c r="H756" s="91" t="s">
        <v>315</v>
      </c>
      <c r="I756" s="91" t="s">
        <v>314</v>
      </c>
      <c r="J756" s="86"/>
      <c r="K756" s="86"/>
      <c r="L756" s="86"/>
    </row>
    <row r="757">
      <c r="A757" s="86"/>
      <c r="B757" s="86"/>
      <c r="C757" s="86"/>
      <c r="D757" s="86"/>
      <c r="E757" s="106" t="str">
        <f>HYPERLINK("https://drive.google.com/open?id=1jUdg7EFa7ebA6ypbXs66SR_GWkyiayMrqVniGjELot8","05")</f>
        <v>05</v>
      </c>
      <c r="F757" s="107"/>
      <c r="G757" s="91" t="s">
        <v>315</v>
      </c>
      <c r="H757" s="91" t="s">
        <v>315</v>
      </c>
      <c r="I757" s="91" t="s">
        <v>314</v>
      </c>
      <c r="J757" s="86"/>
      <c r="K757" s="86"/>
      <c r="L757" s="86"/>
    </row>
    <row r="758">
      <c r="A758" s="86"/>
      <c r="B758" s="86"/>
      <c r="C758" s="7"/>
      <c r="D758" s="7"/>
      <c r="E758" s="96" t="str">
        <f>HYPERLINK("https://drive.google.com/open?id=18G40FEhNayT04SaJh0wfApNnSKHrQ4d9mmsfFGGP4pc","06")</f>
        <v>06</v>
      </c>
      <c r="F758" s="104" t="s">
        <v>675</v>
      </c>
      <c r="G758" s="104" t="s">
        <v>334</v>
      </c>
      <c r="H758" s="104" t="s">
        <v>315</v>
      </c>
      <c r="I758" s="104" t="s">
        <v>314</v>
      </c>
      <c r="J758" s="7"/>
      <c r="K758" s="7"/>
      <c r="L758" s="7"/>
    </row>
    <row r="759">
      <c r="A759" s="86"/>
      <c r="B759" s="86"/>
      <c r="C759" s="83" t="s">
        <v>676</v>
      </c>
      <c r="D759" s="83">
        <v>4.0</v>
      </c>
      <c r="E759" s="88" t="str">
        <f>HYPERLINK("https://drive.google.com/open?id=1A93A0qJaqx9_RKvIPrcoZkvUstkPF3aD1jjhX2DNDRQ","02")</f>
        <v>02</v>
      </c>
      <c r="F759" s="100" t="s">
        <v>599</v>
      </c>
      <c r="G759" s="100" t="s">
        <v>315</v>
      </c>
      <c r="H759" s="100" t="s">
        <v>315</v>
      </c>
      <c r="I759" s="100" t="s">
        <v>314</v>
      </c>
      <c r="J759" s="83" t="s">
        <v>69</v>
      </c>
      <c r="K759" s="83" t="s">
        <v>43</v>
      </c>
      <c r="L759" s="101" t="s">
        <v>364</v>
      </c>
    </row>
    <row r="760">
      <c r="A760" s="86"/>
      <c r="B760" s="86"/>
      <c r="C760" s="86"/>
      <c r="D760" s="86"/>
      <c r="E760" s="106" t="str">
        <f>HYPERLINK("https://drive.google.com/open?id=1TLX_VVIH-fBpMcaPZxVvIZN1CBwwamPxQpF_bkumEOU","03")</f>
        <v>03</v>
      </c>
      <c r="F760" s="91" t="s">
        <v>380</v>
      </c>
      <c r="G760" s="91" t="s">
        <v>315</v>
      </c>
      <c r="H760" s="91" t="s">
        <v>315</v>
      </c>
      <c r="I760" s="91" t="s">
        <v>314</v>
      </c>
      <c r="J760" s="86"/>
      <c r="K760" s="86"/>
      <c r="L760" s="86"/>
    </row>
    <row r="761">
      <c r="A761" s="86"/>
      <c r="B761" s="86"/>
      <c r="C761" s="86"/>
      <c r="D761" s="86"/>
      <c r="E761" s="106" t="str">
        <f>HYPERLINK("https://drive.google.com/open?id=1FE5BuYZzNtHZ8iq66FBeaLKqGVHqbtzWPvDKJCXmilY","04")</f>
        <v>04</v>
      </c>
      <c r="F761" s="107"/>
      <c r="G761" s="91" t="s">
        <v>314</v>
      </c>
      <c r="H761" s="91" t="s">
        <v>314</v>
      </c>
      <c r="I761" s="91" t="s">
        <v>315</v>
      </c>
      <c r="J761" s="86"/>
      <c r="K761" s="86"/>
      <c r="L761" s="86"/>
    </row>
    <row r="762">
      <c r="A762" s="86"/>
      <c r="B762" s="86"/>
      <c r="C762" s="7"/>
      <c r="D762" s="7"/>
      <c r="E762" s="96" t="str">
        <f>HYPERLINK("https://drive.google.com/open?id=1bIf2VQ4U0O-Jy7viUHJWDejqYhvQOOllW1GE4t_35ck","09")</f>
        <v>09</v>
      </c>
      <c r="F762" s="97"/>
      <c r="G762" s="104" t="s">
        <v>314</v>
      </c>
      <c r="H762" s="104" t="s">
        <v>314</v>
      </c>
      <c r="I762" s="104" t="s">
        <v>315</v>
      </c>
      <c r="J762" s="7"/>
      <c r="K762" s="7"/>
      <c r="L762" s="7"/>
    </row>
    <row r="763">
      <c r="A763" s="86"/>
      <c r="B763" s="86"/>
      <c r="C763" s="83" t="s">
        <v>677</v>
      </c>
      <c r="D763" s="83">
        <v>3.0</v>
      </c>
      <c r="E763" s="106" t="str">
        <f>HYPERLINK("https://drive.google.com/open?id=1FE5BuYZzNtHZ8iq66FBeaLKqGVHqbtzWPvDKJCXmilY","04")</f>
        <v>04</v>
      </c>
      <c r="F763" s="107"/>
      <c r="G763" s="91" t="s">
        <v>314</v>
      </c>
      <c r="H763" s="91" t="s">
        <v>314</v>
      </c>
      <c r="I763" s="91" t="s">
        <v>315</v>
      </c>
      <c r="J763" s="83" t="s">
        <v>86</v>
      </c>
      <c r="K763" s="83" t="s">
        <v>58</v>
      </c>
      <c r="L763" s="122"/>
    </row>
    <row r="764">
      <c r="A764" s="86"/>
      <c r="B764" s="86"/>
      <c r="C764" s="86"/>
      <c r="D764" s="86"/>
      <c r="E764" s="106" t="str">
        <f>HYPERLINK("https://drive.google.com/open?id=1nGgWmH7ptqxx4r1jcUwm428dHGaH7aZ5koq8pe0vSvg","07")</f>
        <v>07</v>
      </c>
      <c r="F764" s="107"/>
      <c r="G764" s="91" t="s">
        <v>315</v>
      </c>
      <c r="H764" s="91" t="s">
        <v>315</v>
      </c>
      <c r="I764" s="91" t="s">
        <v>314</v>
      </c>
      <c r="J764" s="86"/>
      <c r="K764" s="86"/>
      <c r="L764" s="86"/>
    </row>
    <row r="765">
      <c r="A765" s="86"/>
      <c r="B765" s="86"/>
      <c r="C765" s="7"/>
      <c r="D765" s="7"/>
      <c r="E765" s="146" t="str">
        <f>HYPERLINK("https://drive.google.com/open?id=1MtVXJOa91jPDhh-QV04w8MnBkb1s3KLDkOJqi_RH8ho","10")</f>
        <v>10</v>
      </c>
      <c r="F765" s="97"/>
      <c r="G765" s="104" t="s">
        <v>315</v>
      </c>
      <c r="H765" s="104" t="s">
        <v>314</v>
      </c>
      <c r="I765" s="104" t="s">
        <v>315</v>
      </c>
      <c r="J765" s="7"/>
      <c r="K765" s="7"/>
      <c r="L765" s="7"/>
    </row>
    <row r="766">
      <c r="A766" s="86"/>
      <c r="B766" s="86"/>
      <c r="C766" s="83" t="s">
        <v>678</v>
      </c>
      <c r="D766" s="83">
        <v>8.0</v>
      </c>
      <c r="E766" s="88" t="str">
        <f>HYPERLINK("https://drive.google.com/open?id=1_qeDY_isB57pK7njYVoYwPIMeJlET1NfmX7cymBJrns","01")</f>
        <v>01</v>
      </c>
      <c r="F766" s="100" t="s">
        <v>546</v>
      </c>
      <c r="G766" s="100" t="s">
        <v>314</v>
      </c>
      <c r="H766" s="100" t="s">
        <v>315</v>
      </c>
      <c r="I766" s="100" t="s">
        <v>314</v>
      </c>
      <c r="J766" s="83" t="s">
        <v>71</v>
      </c>
      <c r="K766" s="83" t="s">
        <v>37</v>
      </c>
      <c r="L766" s="101" t="s">
        <v>679</v>
      </c>
    </row>
    <row r="767">
      <c r="A767" s="86"/>
      <c r="B767" s="86"/>
      <c r="C767" s="86"/>
      <c r="D767" s="86"/>
      <c r="E767" s="106" t="str">
        <f>HYPERLINK("https://drive.google.com/open?id=1A93A0qJaqx9_RKvIPrcoZkvUstkPF3aD1jjhX2DNDRQ","02")</f>
        <v>02</v>
      </c>
      <c r="F767" s="91" t="s">
        <v>599</v>
      </c>
      <c r="G767" s="91" t="s">
        <v>315</v>
      </c>
      <c r="H767" s="91" t="s">
        <v>315</v>
      </c>
      <c r="I767" s="91" t="s">
        <v>314</v>
      </c>
      <c r="J767" s="86"/>
      <c r="K767" s="86"/>
      <c r="L767" s="86"/>
    </row>
    <row r="768">
      <c r="A768" s="86"/>
      <c r="B768" s="86"/>
      <c r="C768" s="86"/>
      <c r="D768" s="86"/>
      <c r="E768" s="106" t="str">
        <f>HYPERLINK("https://drive.google.com/open?id=1TLX_VVIH-fBpMcaPZxVvIZN1CBwwamPxQpF_bkumEOU","03")</f>
        <v>03</v>
      </c>
      <c r="F768" s="91" t="s">
        <v>380</v>
      </c>
      <c r="G768" s="91" t="s">
        <v>315</v>
      </c>
      <c r="H768" s="91" t="s">
        <v>315</v>
      </c>
      <c r="I768" s="91" t="s">
        <v>314</v>
      </c>
      <c r="J768" s="86"/>
      <c r="K768" s="86"/>
      <c r="L768" s="86"/>
    </row>
    <row r="769">
      <c r="A769" s="86"/>
      <c r="B769" s="86"/>
      <c r="C769" s="86"/>
      <c r="D769" s="86"/>
      <c r="E769" s="106" t="str">
        <f>HYPERLINK("https://drive.google.com/open?id=1jUdg7EFa7ebA6ypbXs66SR_GWkyiayMrqVniGjELot8","05")</f>
        <v>05</v>
      </c>
      <c r="F769" s="107"/>
      <c r="G769" s="91" t="s">
        <v>314</v>
      </c>
      <c r="H769" s="91" t="s">
        <v>314</v>
      </c>
      <c r="I769" s="91" t="s">
        <v>315</v>
      </c>
      <c r="J769" s="86"/>
      <c r="K769" s="86"/>
      <c r="L769" s="86"/>
    </row>
    <row r="770">
      <c r="A770" s="86"/>
      <c r="B770" s="86"/>
      <c r="C770" s="86"/>
      <c r="D770" s="86"/>
      <c r="E770" s="106" t="str">
        <f>HYPERLINK("https://drive.google.com/open?id=1kv22imm4iALZyyQdYsyqhR2rPU03FeZbT8H85aRIlPQ","08")</f>
        <v>08</v>
      </c>
      <c r="F770" s="91" t="s">
        <v>9</v>
      </c>
      <c r="G770" s="91" t="s">
        <v>315</v>
      </c>
      <c r="H770" s="91" t="s">
        <v>314</v>
      </c>
      <c r="I770" s="91" t="s">
        <v>315</v>
      </c>
      <c r="J770" s="86"/>
      <c r="K770" s="86"/>
      <c r="L770" s="86"/>
    </row>
    <row r="771">
      <c r="A771" s="86"/>
      <c r="B771" s="86"/>
      <c r="C771" s="86"/>
      <c r="D771" s="86"/>
      <c r="E771" s="106" t="str">
        <f>HYPERLINK("https://drive.google.com/open?id=1bIf2VQ4U0O-Jy7viUHJWDejqYhvQOOllW1GE4t_35ck","09")</f>
        <v>09</v>
      </c>
      <c r="F771" s="91"/>
      <c r="G771" s="91" t="s">
        <v>315</v>
      </c>
      <c r="H771" s="91" t="s">
        <v>314</v>
      </c>
      <c r="I771" s="91" t="s">
        <v>315</v>
      </c>
      <c r="J771" s="86"/>
      <c r="K771" s="86"/>
      <c r="L771" s="86"/>
    </row>
    <row r="772">
      <c r="A772" s="86"/>
      <c r="B772" s="86"/>
      <c r="C772" s="86"/>
      <c r="D772" s="86"/>
      <c r="E772" s="142" t="str">
        <f>HYPERLINK("https://drive.google.com/open?id=1MtVXJOa91jPDhh-QV04w8MnBkb1s3KLDkOJqi_RH8ho","10")</f>
        <v>10</v>
      </c>
      <c r="F772" s="91"/>
      <c r="G772" s="91" t="s">
        <v>315</v>
      </c>
      <c r="H772" s="91" t="s">
        <v>315</v>
      </c>
      <c r="I772" s="91" t="s">
        <v>315</v>
      </c>
      <c r="J772" s="86"/>
      <c r="K772" s="86"/>
      <c r="L772" s="86"/>
    </row>
    <row r="773">
      <c r="A773" s="86"/>
      <c r="B773" s="86"/>
      <c r="C773" s="7"/>
      <c r="D773" s="7"/>
      <c r="E773" s="96" t="str">
        <f>HYPERLINK("https://drive.google.com/open?id=1QbB_bG6skJtzggZU7EIa_Z7q4yw-56QkYYRWPkxcLMM","11")</f>
        <v>11</v>
      </c>
      <c r="F773" s="104" t="s">
        <v>529</v>
      </c>
      <c r="G773" s="104" t="s">
        <v>334</v>
      </c>
      <c r="H773" s="104" t="s">
        <v>315</v>
      </c>
      <c r="I773" s="104" t="s">
        <v>315</v>
      </c>
      <c r="J773" s="7"/>
      <c r="K773" s="7"/>
      <c r="L773" s="7"/>
    </row>
    <row r="774">
      <c r="A774" s="86"/>
      <c r="B774" s="86"/>
      <c r="C774" s="121" t="s">
        <v>680</v>
      </c>
      <c r="D774" s="121">
        <v>1.0</v>
      </c>
      <c r="E774" s="84" t="str">
        <f t="shared" ref="E774:E775" si="33">HYPERLINK("https://drive.google.com/open?id=1A93A0qJaqx9_RKvIPrcoZkvUstkPF3aD1jjhX2DNDRQ","02")</f>
        <v>02</v>
      </c>
      <c r="F774" s="10" t="s">
        <v>599</v>
      </c>
      <c r="G774" s="10" t="s">
        <v>315</v>
      </c>
      <c r="H774" s="10" t="s">
        <v>315</v>
      </c>
      <c r="I774" s="10" t="s">
        <v>314</v>
      </c>
      <c r="J774" s="121" t="s">
        <v>44</v>
      </c>
      <c r="K774" s="121" t="s">
        <v>24</v>
      </c>
      <c r="L774" s="128"/>
    </row>
    <row r="775">
      <c r="A775" s="86"/>
      <c r="B775" s="86"/>
      <c r="C775" s="83" t="s">
        <v>681</v>
      </c>
      <c r="D775" s="83">
        <v>5.0</v>
      </c>
      <c r="E775" s="88" t="str">
        <f t="shared" si="33"/>
        <v>02</v>
      </c>
      <c r="F775" s="100" t="s">
        <v>599</v>
      </c>
      <c r="G775" s="100" t="s">
        <v>315</v>
      </c>
      <c r="H775" s="100" t="s">
        <v>315</v>
      </c>
      <c r="I775" s="100" t="s">
        <v>314</v>
      </c>
      <c r="J775" s="83" t="s">
        <v>65</v>
      </c>
      <c r="K775" s="83" t="s">
        <v>40</v>
      </c>
      <c r="L775" s="101" t="s">
        <v>364</v>
      </c>
    </row>
    <row r="776">
      <c r="A776" s="86"/>
      <c r="B776" s="86"/>
      <c r="C776" s="86"/>
      <c r="D776" s="86"/>
      <c r="E776" s="106" t="str">
        <f>HYPERLINK("https://drive.google.com/open?id=1nGgWmH7ptqxx4r1jcUwm428dHGaH7aZ5koq8pe0vSvg","07")</f>
        <v>07</v>
      </c>
      <c r="F776" s="91"/>
      <c r="G776" s="91" t="s">
        <v>315</v>
      </c>
      <c r="H776" s="91" t="s">
        <v>315</v>
      </c>
      <c r="I776" s="91" t="s">
        <v>314</v>
      </c>
      <c r="J776" s="86"/>
      <c r="K776" s="86"/>
      <c r="L776" s="86"/>
    </row>
    <row r="777">
      <c r="A777" s="86"/>
      <c r="B777" s="86"/>
      <c r="C777" s="86"/>
      <c r="D777" s="86"/>
      <c r="E777" s="106" t="str">
        <f>HYPERLINK("https://drive.google.com/open?id=1kv22imm4iALZyyQdYsyqhR2rPU03FeZbT8H85aRIlPQ","08")</f>
        <v>08</v>
      </c>
      <c r="F777" s="91" t="s">
        <v>9</v>
      </c>
      <c r="G777" s="91" t="s">
        <v>315</v>
      </c>
      <c r="H777" s="91" t="s">
        <v>314</v>
      </c>
      <c r="I777" s="91" t="s">
        <v>315</v>
      </c>
      <c r="J777" s="86"/>
      <c r="K777" s="86"/>
      <c r="L777" s="86"/>
    </row>
    <row r="778">
      <c r="A778" s="86"/>
      <c r="B778" s="86"/>
      <c r="C778" s="86"/>
      <c r="D778" s="86"/>
      <c r="E778" s="106" t="str">
        <f>HYPERLINK("https://drive.google.com/open?id=1bIf2VQ4U0O-Jy7viUHJWDejqYhvQOOllW1GE4t_35ck","09")</f>
        <v>09</v>
      </c>
      <c r="F778" s="91"/>
      <c r="G778" s="91" t="s">
        <v>314</v>
      </c>
      <c r="H778" s="91" t="s">
        <v>314</v>
      </c>
      <c r="I778" s="91" t="s">
        <v>315</v>
      </c>
      <c r="J778" s="86"/>
      <c r="K778" s="86"/>
      <c r="L778" s="86"/>
    </row>
    <row r="779">
      <c r="A779" s="86"/>
      <c r="B779" s="86"/>
      <c r="C779" s="7"/>
      <c r="D779" s="7"/>
      <c r="E779" s="96" t="str">
        <f>HYPERLINK("https://drive.google.com/open?id=1H6mo0Fr4w2cW9oDxKJwW9HqCwGkXto-RIVK09bC-h98","12")</f>
        <v>12</v>
      </c>
      <c r="F779" s="104" t="s">
        <v>659</v>
      </c>
      <c r="G779" s="104" t="s">
        <v>315</v>
      </c>
      <c r="H779" s="104" t="s">
        <v>314</v>
      </c>
      <c r="I779" s="104" t="s">
        <v>315</v>
      </c>
      <c r="J779" s="7"/>
      <c r="K779" s="7"/>
      <c r="L779" s="7"/>
    </row>
    <row r="780">
      <c r="A780" s="86"/>
      <c r="B780" s="86"/>
      <c r="C780" s="83" t="s">
        <v>682</v>
      </c>
      <c r="D780" s="83">
        <v>2.0</v>
      </c>
      <c r="E780" s="88" t="str">
        <f>HYPERLINK("https://drive.google.com/open?id=18G40FEhNayT04SaJh0wfApNnSKHrQ4d9mmsfFGGP4pc","06")</f>
        <v>06</v>
      </c>
      <c r="F780" s="100" t="s">
        <v>675</v>
      </c>
      <c r="G780" s="100" t="s">
        <v>334</v>
      </c>
      <c r="H780" s="100" t="s">
        <v>315</v>
      </c>
      <c r="I780" s="100" t="s">
        <v>314</v>
      </c>
      <c r="J780" s="83" t="s">
        <v>67</v>
      </c>
      <c r="K780" s="83" t="s">
        <v>45</v>
      </c>
      <c r="L780" s="122"/>
    </row>
    <row r="781">
      <c r="A781" s="86"/>
      <c r="B781" s="86"/>
      <c r="C781" s="7"/>
      <c r="D781" s="7"/>
      <c r="E781" s="96" t="str">
        <f>HYPERLINK("https://drive.google.com/open?id=1kv22imm4iALZyyQdYsyqhR2rPU03FeZbT8H85aRIlPQ","08")</f>
        <v>08</v>
      </c>
      <c r="F781" s="104" t="s">
        <v>9</v>
      </c>
      <c r="G781" s="104" t="s">
        <v>315</v>
      </c>
      <c r="H781" s="104" t="s">
        <v>314</v>
      </c>
      <c r="I781" s="104" t="s">
        <v>315</v>
      </c>
      <c r="J781" s="7"/>
      <c r="K781" s="7"/>
      <c r="L781" s="7"/>
    </row>
    <row r="782">
      <c r="A782" s="86"/>
      <c r="B782" s="86"/>
      <c r="C782" s="83" t="s">
        <v>683</v>
      </c>
      <c r="D782" s="83">
        <v>8.0</v>
      </c>
      <c r="E782" s="88" t="str">
        <f>HYPERLINK("https://drive.google.com/open?id=1_qeDY_isB57pK7njYVoYwPIMeJlET1NfmX7cymBJrns","01")</f>
        <v>01</v>
      </c>
      <c r="F782" s="100" t="s">
        <v>546</v>
      </c>
      <c r="G782" s="100" t="s">
        <v>314</v>
      </c>
      <c r="H782" s="100" t="s">
        <v>315</v>
      </c>
      <c r="I782" s="100" t="s">
        <v>314</v>
      </c>
      <c r="J782" s="83" t="s">
        <v>55</v>
      </c>
      <c r="K782" s="83" t="s">
        <v>54</v>
      </c>
      <c r="L782" s="101" t="s">
        <v>684</v>
      </c>
    </row>
    <row r="783">
      <c r="A783" s="86"/>
      <c r="B783" s="86"/>
      <c r="C783" s="86"/>
      <c r="D783" s="86"/>
      <c r="E783" s="106" t="str">
        <f>HYPERLINK("https://drive.google.com/open?id=1A93A0qJaqx9_RKvIPrcoZkvUstkPF3aD1jjhX2DNDRQ","02")</f>
        <v>02</v>
      </c>
      <c r="F783" s="91" t="s">
        <v>599</v>
      </c>
      <c r="G783" s="91" t="s">
        <v>315</v>
      </c>
      <c r="H783" s="91" t="s">
        <v>315</v>
      </c>
      <c r="I783" s="91" t="s">
        <v>314</v>
      </c>
      <c r="J783" s="86"/>
      <c r="K783" s="86"/>
      <c r="L783" s="86"/>
    </row>
    <row r="784">
      <c r="A784" s="86"/>
      <c r="B784" s="86"/>
      <c r="C784" s="86"/>
      <c r="D784" s="86"/>
      <c r="E784" s="106" t="str">
        <f>HYPERLINK("https://drive.google.com/open?id=1jUdg7EFa7ebA6ypbXs66SR_GWkyiayMrqVniGjELot8","05")</f>
        <v>05</v>
      </c>
      <c r="F784" s="107"/>
      <c r="G784" s="91" t="s">
        <v>315</v>
      </c>
      <c r="H784" s="91" t="s">
        <v>315</v>
      </c>
      <c r="I784" s="91" t="s">
        <v>314</v>
      </c>
      <c r="J784" s="86"/>
      <c r="K784" s="86"/>
      <c r="L784" s="86"/>
    </row>
    <row r="785">
      <c r="A785" s="86"/>
      <c r="B785" s="86"/>
      <c r="C785" s="86"/>
      <c r="D785" s="86"/>
      <c r="E785" s="106" t="str">
        <f>HYPERLINK("https://drive.google.com/open?id=1nGgWmH7ptqxx4r1jcUwm428dHGaH7aZ5koq8pe0vSvg","07")</f>
        <v>07</v>
      </c>
      <c r="F785" s="107"/>
      <c r="G785" s="91" t="s">
        <v>314</v>
      </c>
      <c r="H785" s="91" t="s">
        <v>315</v>
      </c>
      <c r="I785" s="91" t="s">
        <v>314</v>
      </c>
      <c r="J785" s="86"/>
      <c r="K785" s="86"/>
      <c r="L785" s="86"/>
    </row>
    <row r="786">
      <c r="A786" s="86"/>
      <c r="B786" s="86"/>
      <c r="C786" s="86"/>
      <c r="D786" s="86"/>
      <c r="E786" s="106" t="str">
        <f>HYPERLINK("https://drive.google.com/open?id=1kv22imm4iALZyyQdYsyqhR2rPU03FeZbT8H85aRIlPQ","08")</f>
        <v>08</v>
      </c>
      <c r="F786" s="91" t="s">
        <v>9</v>
      </c>
      <c r="G786" s="91" t="s">
        <v>315</v>
      </c>
      <c r="H786" s="91" t="s">
        <v>314</v>
      </c>
      <c r="I786" s="91" t="s">
        <v>315</v>
      </c>
      <c r="J786" s="86"/>
      <c r="K786" s="86"/>
      <c r="L786" s="86"/>
    </row>
    <row r="787">
      <c r="A787" s="86"/>
      <c r="B787" s="86"/>
      <c r="C787" s="86"/>
      <c r="D787" s="86"/>
      <c r="E787" s="106" t="str">
        <f>HYPERLINK("https://drive.google.com/open?id=1QbB_bG6skJtzggZU7EIa_Z7q4yw-56QkYYRWPkxcLMM","11")</f>
        <v>11</v>
      </c>
      <c r="F787" s="91" t="s">
        <v>529</v>
      </c>
      <c r="G787" s="91" t="s">
        <v>334</v>
      </c>
      <c r="H787" s="91" t="s">
        <v>314</v>
      </c>
      <c r="I787" s="91" t="s">
        <v>315</v>
      </c>
      <c r="J787" s="86"/>
      <c r="K787" s="86"/>
      <c r="L787" s="86"/>
    </row>
    <row r="788">
      <c r="A788" s="86"/>
      <c r="B788" s="86"/>
      <c r="C788" s="86"/>
      <c r="D788" s="86"/>
      <c r="E788" s="106" t="str">
        <f>HYPERLINK("https://drive.google.com/open?id=1H6mo0Fr4w2cW9oDxKJwW9HqCwGkXto-RIVK09bC-h98","12")</f>
        <v>12</v>
      </c>
      <c r="F788" s="91" t="s">
        <v>659</v>
      </c>
      <c r="G788" s="91" t="s">
        <v>314</v>
      </c>
      <c r="H788" s="91" t="s">
        <v>314</v>
      </c>
      <c r="I788" s="91" t="s">
        <v>315</v>
      </c>
      <c r="J788" s="86"/>
      <c r="K788" s="86"/>
      <c r="L788" s="86"/>
    </row>
    <row r="789">
      <c r="A789" s="86"/>
      <c r="B789" s="86"/>
      <c r="C789" s="7"/>
      <c r="D789" s="7"/>
      <c r="E789" s="96" t="str">
        <f>HYPERLINK("https://drive.google.com/open?id=1zGC3aHqEXrMJCusZJbPLYMeZVfmySSrwxy2_3wpriTQ","13")</f>
        <v>13</v>
      </c>
      <c r="F789" s="104"/>
      <c r="G789" s="104" t="s">
        <v>314</v>
      </c>
      <c r="H789" s="104" t="s">
        <v>314</v>
      </c>
      <c r="I789" s="104" t="s">
        <v>315</v>
      </c>
      <c r="J789" s="7"/>
      <c r="K789" s="7"/>
      <c r="L789" s="7"/>
    </row>
    <row r="790">
      <c r="A790" s="86"/>
      <c r="B790" s="86"/>
      <c r="C790" s="83" t="s">
        <v>685</v>
      </c>
      <c r="D790" s="83">
        <v>4.0</v>
      </c>
      <c r="E790" s="88" t="str">
        <f>HYPERLINK("https://drive.google.com/open?id=1_qeDY_isB57pK7njYVoYwPIMeJlET1NfmX7cymBJrns","01")</f>
        <v>01</v>
      </c>
      <c r="F790" s="100" t="s">
        <v>546</v>
      </c>
      <c r="G790" s="100" t="s">
        <v>315</v>
      </c>
      <c r="H790" s="100" t="s">
        <v>314</v>
      </c>
      <c r="I790" s="100" t="s">
        <v>315</v>
      </c>
      <c r="J790" s="83" t="s">
        <v>62</v>
      </c>
      <c r="K790" s="83" t="s">
        <v>33</v>
      </c>
      <c r="L790" s="122"/>
    </row>
    <row r="791">
      <c r="A791" s="86"/>
      <c r="B791" s="86"/>
      <c r="C791" s="86"/>
      <c r="D791" s="86"/>
      <c r="E791" s="106" t="str">
        <f>HYPERLINK("https://drive.google.com/open?id=1TLX_VVIH-fBpMcaPZxVvIZN1CBwwamPxQpF_bkumEOU","03")</f>
        <v>03</v>
      </c>
      <c r="F791" s="91" t="s">
        <v>380</v>
      </c>
      <c r="G791" s="91" t="s">
        <v>314</v>
      </c>
      <c r="H791" s="91" t="s">
        <v>314</v>
      </c>
      <c r="I791" s="91" t="s">
        <v>315</v>
      </c>
      <c r="J791" s="86"/>
      <c r="K791" s="86"/>
      <c r="L791" s="86"/>
    </row>
    <row r="792">
      <c r="A792" s="86"/>
      <c r="B792" s="86"/>
      <c r="C792" s="86"/>
      <c r="D792" s="86"/>
      <c r="E792" s="106" t="str">
        <f>HYPERLINK("https://drive.google.com/open?id=1jUdg7EFa7ebA6ypbXs66SR_GWkyiayMrqVniGjELot8","05")</f>
        <v>05</v>
      </c>
      <c r="F792" s="107"/>
      <c r="G792" s="91" t="s">
        <v>315</v>
      </c>
      <c r="H792" s="91" t="s">
        <v>315</v>
      </c>
      <c r="I792" s="91" t="s">
        <v>314</v>
      </c>
      <c r="J792" s="86"/>
      <c r="K792" s="86"/>
      <c r="L792" s="86"/>
    </row>
    <row r="793">
      <c r="A793" s="86"/>
      <c r="B793" s="86"/>
      <c r="C793" s="7"/>
      <c r="D793" s="7"/>
      <c r="E793" s="96" t="str">
        <f>HYPERLINK("https://drive.google.com/open?id=1nGgWmH7ptqxx4r1jcUwm428dHGaH7aZ5koq8pe0vSvg","07")</f>
        <v>07</v>
      </c>
      <c r="F793" s="97"/>
      <c r="G793" s="104" t="s">
        <v>315</v>
      </c>
      <c r="H793" s="104" t="s">
        <v>315</v>
      </c>
      <c r="I793" s="104" t="s">
        <v>314</v>
      </c>
      <c r="J793" s="7"/>
      <c r="K793" s="7"/>
      <c r="L793" s="7"/>
    </row>
    <row r="794">
      <c r="A794" s="86"/>
      <c r="B794" s="86"/>
      <c r="C794" s="121" t="s">
        <v>686</v>
      </c>
      <c r="D794" s="121">
        <v>1.0</v>
      </c>
      <c r="E794" s="84" t="str">
        <f>HYPERLINK("https://drive.google.com/open?id=1jUdg7EFa7ebA6ypbXs66SR_GWkyiayMrqVniGjELot8","05")</f>
        <v>05</v>
      </c>
      <c r="F794" s="27"/>
      <c r="G794" s="10" t="s">
        <v>315</v>
      </c>
      <c r="H794" s="10" t="s">
        <v>315</v>
      </c>
      <c r="I794" s="10" t="s">
        <v>314</v>
      </c>
      <c r="J794" s="121" t="s">
        <v>39</v>
      </c>
      <c r="K794" s="121" t="s">
        <v>31</v>
      </c>
      <c r="L794" s="128"/>
    </row>
    <row r="795">
      <c r="A795" s="86"/>
      <c r="B795" s="86"/>
      <c r="C795" s="83" t="s">
        <v>134</v>
      </c>
      <c r="D795" s="83">
        <v>3.0</v>
      </c>
      <c r="E795" s="88" t="str">
        <f>HYPERLINK("https://drive.google.com/open?id=1A93A0qJaqx9_RKvIPrcoZkvUstkPF3aD1jjhX2DNDRQ","02")</f>
        <v>02</v>
      </c>
      <c r="F795" s="100" t="s">
        <v>599</v>
      </c>
      <c r="G795" s="100" t="s">
        <v>315</v>
      </c>
      <c r="H795" s="100" t="s">
        <v>315</v>
      </c>
      <c r="I795" s="100" t="s">
        <v>314</v>
      </c>
      <c r="J795" s="83" t="s">
        <v>36</v>
      </c>
      <c r="K795" s="83" t="s">
        <v>28</v>
      </c>
      <c r="L795" s="122"/>
    </row>
    <row r="796">
      <c r="A796" s="86"/>
      <c r="B796" s="86"/>
      <c r="C796" s="86"/>
      <c r="D796" s="86"/>
      <c r="E796" s="106" t="str">
        <f>HYPERLINK("https://drive.google.com/open?id=1jUdg7EFa7ebA6ypbXs66SR_GWkyiayMrqVniGjELot8","05")</f>
        <v>05</v>
      </c>
      <c r="F796" s="107"/>
      <c r="G796" s="91" t="s">
        <v>315</v>
      </c>
      <c r="H796" s="91" t="s">
        <v>315</v>
      </c>
      <c r="I796" s="91" t="s">
        <v>314</v>
      </c>
      <c r="J796" s="86"/>
      <c r="K796" s="86"/>
      <c r="L796" s="86"/>
    </row>
    <row r="797">
      <c r="A797" s="7"/>
      <c r="B797" s="7"/>
      <c r="C797" s="7"/>
      <c r="D797" s="7"/>
      <c r="E797" s="146" t="str">
        <f>HYPERLINK("https://drive.google.com/open?id=1MtVXJOa91jPDhh-QV04w8MnBkb1s3KLDkOJqi_RH8ho","10")</f>
        <v>10</v>
      </c>
      <c r="F797" s="97"/>
      <c r="G797" s="104" t="s">
        <v>314</v>
      </c>
      <c r="H797" s="104" t="s">
        <v>314</v>
      </c>
      <c r="I797" s="104" t="s">
        <v>315</v>
      </c>
      <c r="J797" s="7"/>
      <c r="K797" s="7"/>
      <c r="L797" s="7"/>
    </row>
    <row r="798" hidden="1">
      <c r="A798" s="118"/>
      <c r="B798" s="28"/>
      <c r="C798" s="156" t="s">
        <v>687</v>
      </c>
      <c r="D798" s="118"/>
      <c r="E798" s="157"/>
      <c r="F798" s="28"/>
      <c r="G798" s="118"/>
      <c r="H798" s="118"/>
      <c r="I798" s="118"/>
      <c r="J798" s="28"/>
      <c r="K798" s="28"/>
    </row>
    <row r="799" hidden="1">
      <c r="A799" s="118">
        <v>37.0</v>
      </c>
      <c r="B799" s="28"/>
      <c r="C799" s="156" t="s">
        <v>688</v>
      </c>
      <c r="D799" s="118"/>
      <c r="E799" s="157"/>
      <c r="F799" s="28"/>
      <c r="G799" s="118"/>
      <c r="H799" s="118"/>
      <c r="I799" s="118"/>
      <c r="J799" s="28"/>
      <c r="K799" s="28"/>
    </row>
    <row r="800" hidden="1">
      <c r="A800" s="118"/>
      <c r="B800" s="28"/>
      <c r="C800" s="156" t="s">
        <v>689</v>
      </c>
      <c r="D800" s="118"/>
      <c r="E800" s="157"/>
      <c r="F800" s="28"/>
      <c r="G800" s="118"/>
      <c r="H800" s="118"/>
      <c r="I800" s="118"/>
      <c r="J800" s="28"/>
      <c r="K800" s="28"/>
    </row>
    <row r="801" hidden="1">
      <c r="A801" s="118"/>
      <c r="B801" s="28"/>
      <c r="C801" s="156" t="s">
        <v>690</v>
      </c>
      <c r="D801" s="118"/>
      <c r="E801" s="157"/>
      <c r="F801" s="28"/>
      <c r="G801" s="118"/>
      <c r="H801" s="118"/>
      <c r="I801" s="118"/>
      <c r="J801" s="28"/>
      <c r="K801" s="28"/>
    </row>
    <row r="802" hidden="1">
      <c r="A802" s="118"/>
      <c r="B802" s="28"/>
      <c r="C802" s="156" t="s">
        <v>691</v>
      </c>
      <c r="D802" s="118"/>
      <c r="E802" s="157"/>
      <c r="F802" s="28"/>
      <c r="G802" s="118"/>
      <c r="H802" s="118"/>
      <c r="I802" s="118"/>
      <c r="J802" s="28"/>
      <c r="K802" s="28"/>
    </row>
    <row r="803" hidden="1">
      <c r="A803" s="118"/>
      <c r="B803" s="28"/>
      <c r="C803" s="156" t="s">
        <v>692</v>
      </c>
      <c r="D803" s="118"/>
      <c r="E803" s="157"/>
      <c r="F803" s="28"/>
      <c r="G803" s="118"/>
      <c r="H803" s="118"/>
      <c r="I803" s="118"/>
      <c r="J803" s="28"/>
      <c r="K803" s="28"/>
    </row>
    <row r="804" hidden="1">
      <c r="A804" s="118"/>
      <c r="B804" s="28"/>
      <c r="C804" s="156" t="s">
        <v>693</v>
      </c>
      <c r="D804" s="118"/>
      <c r="E804" s="157"/>
      <c r="F804" s="28"/>
      <c r="G804" s="118"/>
      <c r="H804" s="118"/>
      <c r="I804" s="118"/>
      <c r="J804" s="28"/>
      <c r="K804" s="28"/>
    </row>
    <row r="805" hidden="1">
      <c r="A805" s="118"/>
      <c r="B805" s="28"/>
      <c r="C805" s="156" t="s">
        <v>694</v>
      </c>
      <c r="D805" s="118"/>
      <c r="E805" s="157"/>
      <c r="F805" s="28"/>
      <c r="G805" s="118"/>
      <c r="H805" s="118"/>
      <c r="I805" s="118"/>
      <c r="J805" s="28"/>
      <c r="K805" s="28"/>
    </row>
    <row r="806" hidden="1">
      <c r="A806" s="118"/>
      <c r="B806" s="28"/>
      <c r="C806" s="156" t="s">
        <v>695</v>
      </c>
      <c r="D806" s="118"/>
      <c r="E806" s="157"/>
      <c r="F806" s="28"/>
      <c r="G806" s="118"/>
      <c r="H806" s="118"/>
      <c r="I806" s="118"/>
      <c r="J806" s="28"/>
      <c r="K806" s="28"/>
    </row>
    <row r="807" hidden="1">
      <c r="A807" s="118"/>
      <c r="B807" s="28"/>
      <c r="C807" s="156" t="s">
        <v>696</v>
      </c>
      <c r="D807" s="118"/>
      <c r="E807" s="157"/>
      <c r="F807" s="28"/>
      <c r="G807" s="118"/>
      <c r="H807" s="118"/>
      <c r="I807" s="118"/>
      <c r="J807" s="28"/>
      <c r="K807" s="28"/>
    </row>
    <row r="808" hidden="1">
      <c r="A808" s="118"/>
      <c r="B808" s="28"/>
      <c r="C808" s="156" t="s">
        <v>697</v>
      </c>
      <c r="D808" s="118"/>
      <c r="E808" s="157"/>
      <c r="F808" s="28"/>
      <c r="G808" s="118"/>
      <c r="H808" s="118"/>
      <c r="I808" s="118"/>
      <c r="J808" s="28"/>
      <c r="K808" s="28"/>
    </row>
    <row r="809" hidden="1">
      <c r="A809" s="118"/>
      <c r="B809" s="28"/>
      <c r="C809" s="156" t="s">
        <v>698</v>
      </c>
      <c r="D809" s="118"/>
      <c r="E809" s="157"/>
      <c r="F809" s="28"/>
      <c r="G809" s="118"/>
      <c r="H809" s="118"/>
      <c r="I809" s="118"/>
      <c r="J809" s="28"/>
      <c r="K809" s="28"/>
    </row>
    <row r="810" hidden="1">
      <c r="A810" s="118"/>
      <c r="B810" s="28"/>
      <c r="C810" s="156" t="s">
        <v>699</v>
      </c>
      <c r="D810" s="118"/>
      <c r="E810" s="157"/>
      <c r="F810" s="28"/>
      <c r="G810" s="118"/>
      <c r="H810" s="118"/>
      <c r="I810" s="118"/>
      <c r="J810" s="28"/>
      <c r="K810" s="28"/>
    </row>
    <row r="811" hidden="1">
      <c r="A811" s="118"/>
      <c r="B811" s="28"/>
      <c r="C811" s="156" t="s">
        <v>700</v>
      </c>
      <c r="D811" s="118"/>
      <c r="E811" s="157"/>
      <c r="F811" s="28"/>
      <c r="G811" s="118"/>
      <c r="H811" s="118"/>
      <c r="I811" s="118"/>
      <c r="J811" s="28"/>
      <c r="K811" s="28"/>
    </row>
    <row r="812" hidden="1">
      <c r="A812" s="118"/>
      <c r="B812" s="28"/>
      <c r="C812" s="156" t="s">
        <v>701</v>
      </c>
      <c r="D812" s="118"/>
      <c r="E812" s="157"/>
      <c r="F812" s="28"/>
      <c r="G812" s="118"/>
      <c r="H812" s="118"/>
      <c r="I812" s="118"/>
      <c r="J812" s="28"/>
      <c r="K812" s="28"/>
    </row>
    <row r="813" hidden="1">
      <c r="A813" s="118"/>
      <c r="B813" s="28"/>
      <c r="C813" s="156" t="s">
        <v>702</v>
      </c>
      <c r="D813" s="118"/>
      <c r="E813" s="157"/>
      <c r="F813" s="28"/>
      <c r="G813" s="118"/>
      <c r="H813" s="118"/>
      <c r="I813" s="118"/>
      <c r="J813" s="28"/>
      <c r="K813" s="28"/>
    </row>
    <row r="814" hidden="1">
      <c r="A814" s="118"/>
      <c r="B814" s="28"/>
      <c r="C814" s="156" t="s">
        <v>703</v>
      </c>
      <c r="D814" s="118"/>
      <c r="E814" s="157"/>
      <c r="F814" s="28"/>
      <c r="G814" s="118"/>
      <c r="H814" s="118"/>
      <c r="I814" s="118"/>
      <c r="J814" s="28"/>
      <c r="K814" s="28"/>
    </row>
    <row r="815" hidden="1">
      <c r="A815" s="118"/>
      <c r="B815" s="28"/>
      <c r="C815" s="156" t="s">
        <v>704</v>
      </c>
      <c r="D815" s="118"/>
      <c r="E815" s="157"/>
      <c r="F815" s="28"/>
      <c r="G815" s="118"/>
      <c r="H815" s="118"/>
      <c r="I815" s="118"/>
      <c r="J815" s="28"/>
      <c r="K815" s="28"/>
    </row>
    <row r="816" hidden="1">
      <c r="A816" s="118"/>
      <c r="B816" s="28"/>
      <c r="C816" s="156" t="s">
        <v>97</v>
      </c>
      <c r="D816" s="118"/>
      <c r="E816" s="157"/>
      <c r="F816" s="28"/>
      <c r="G816" s="118"/>
      <c r="H816" s="118"/>
      <c r="I816" s="118"/>
      <c r="J816" s="28"/>
      <c r="K816" s="28"/>
    </row>
    <row r="817" hidden="1">
      <c r="A817" s="118">
        <v>38.0</v>
      </c>
      <c r="C817" s="156" t="s">
        <v>705</v>
      </c>
      <c r="D817" s="118"/>
      <c r="E817" s="157"/>
      <c r="F817" s="28"/>
      <c r="G817" s="118"/>
      <c r="H817" s="118"/>
      <c r="I817" s="118"/>
      <c r="J817" s="28"/>
      <c r="K817" s="28"/>
    </row>
    <row r="818" hidden="1">
      <c r="A818" s="118"/>
      <c r="C818" s="156" t="s">
        <v>706</v>
      </c>
      <c r="D818" s="118"/>
      <c r="E818" s="157"/>
      <c r="F818" s="28"/>
      <c r="G818" s="118"/>
      <c r="H818" s="118"/>
      <c r="I818" s="118"/>
      <c r="J818" s="28"/>
      <c r="K818" s="28"/>
    </row>
    <row r="819" hidden="1">
      <c r="A819" s="118"/>
      <c r="C819" s="156" t="s">
        <v>707</v>
      </c>
      <c r="D819" s="118"/>
      <c r="E819" s="157"/>
      <c r="F819" s="28"/>
      <c r="G819" s="118"/>
      <c r="H819" s="118"/>
      <c r="I819" s="118"/>
      <c r="J819" s="28"/>
      <c r="K819" s="28"/>
    </row>
    <row r="820" hidden="1">
      <c r="A820" s="118"/>
      <c r="C820" s="156" t="s">
        <v>168</v>
      </c>
      <c r="D820" s="118"/>
      <c r="E820" s="157"/>
      <c r="F820" s="28"/>
      <c r="G820" s="118"/>
      <c r="H820" s="118"/>
      <c r="I820" s="118"/>
      <c r="J820" s="28"/>
      <c r="K820" s="28"/>
    </row>
    <row r="821" hidden="1">
      <c r="A821" s="118"/>
      <c r="C821" s="156" t="s">
        <v>222</v>
      </c>
      <c r="D821" s="118"/>
      <c r="E821" s="157"/>
      <c r="F821" s="28"/>
      <c r="G821" s="118"/>
      <c r="H821" s="118"/>
      <c r="I821" s="118"/>
      <c r="J821" s="28"/>
      <c r="K821" s="28"/>
    </row>
    <row r="822" hidden="1">
      <c r="A822" s="118"/>
      <c r="C822" s="156" t="s">
        <v>708</v>
      </c>
      <c r="D822" s="118"/>
      <c r="E822" s="157"/>
      <c r="F822" s="28"/>
      <c r="G822" s="118"/>
      <c r="H822" s="118"/>
      <c r="I822" s="118"/>
      <c r="J822" s="28"/>
      <c r="K822" s="28"/>
    </row>
    <row r="823" hidden="1">
      <c r="A823" s="118"/>
      <c r="C823" s="156" t="s">
        <v>709</v>
      </c>
      <c r="D823" s="118">
        <v>1.0</v>
      </c>
      <c r="E823" s="117" t="str">
        <f>HYPERLINK("https://drive.google.com/open?id=1cjAr9zHIbxmZW6W3RHnSMl7DN61z4wtuWocc95vVID0","01")</f>
        <v>01</v>
      </c>
      <c r="F823" s="118" t="s">
        <v>546</v>
      </c>
      <c r="G823" s="118" t="s">
        <v>315</v>
      </c>
      <c r="H823" s="118" t="s">
        <v>315</v>
      </c>
      <c r="I823" s="118" t="s">
        <v>314</v>
      </c>
      <c r="J823" s="28"/>
      <c r="K823" s="28"/>
    </row>
    <row r="824" hidden="1">
      <c r="A824" s="118"/>
      <c r="C824" s="156" t="s">
        <v>197</v>
      </c>
      <c r="D824" s="118"/>
      <c r="E824" s="157"/>
      <c r="F824" s="28"/>
      <c r="G824" s="118"/>
      <c r="H824" s="118"/>
      <c r="I824" s="118"/>
      <c r="J824" s="28"/>
      <c r="K824" s="28"/>
    </row>
    <row r="825" hidden="1">
      <c r="A825" s="118"/>
      <c r="C825" s="156" t="s">
        <v>236</v>
      </c>
      <c r="D825" s="118"/>
      <c r="E825" s="157"/>
      <c r="F825" s="28"/>
      <c r="G825" s="118"/>
      <c r="H825" s="118"/>
      <c r="I825" s="118"/>
      <c r="J825" s="28"/>
      <c r="K825" s="28"/>
    </row>
    <row r="826" hidden="1">
      <c r="A826" s="118"/>
      <c r="C826" s="156" t="s">
        <v>710</v>
      </c>
      <c r="D826" s="118"/>
      <c r="E826" s="157"/>
      <c r="F826" s="28"/>
      <c r="G826" s="118"/>
      <c r="H826" s="118"/>
      <c r="I826" s="118"/>
      <c r="J826" s="28"/>
      <c r="K826" s="28"/>
    </row>
    <row r="827" hidden="1">
      <c r="A827" s="118"/>
      <c r="C827" s="156" t="s">
        <v>711</v>
      </c>
      <c r="D827" s="118"/>
      <c r="E827" s="157"/>
      <c r="F827" s="28"/>
      <c r="G827" s="118"/>
      <c r="H827" s="118"/>
      <c r="I827" s="118"/>
      <c r="J827" s="28"/>
      <c r="K827" s="28"/>
    </row>
    <row r="828" hidden="1">
      <c r="A828" s="118"/>
      <c r="C828" s="156" t="s">
        <v>712</v>
      </c>
      <c r="D828" s="118"/>
      <c r="E828" s="157"/>
      <c r="F828" s="28"/>
      <c r="G828" s="118"/>
      <c r="H828" s="118"/>
      <c r="I828" s="118"/>
      <c r="J828" s="28"/>
      <c r="K828" s="28"/>
    </row>
    <row r="829" hidden="1">
      <c r="A829" s="118"/>
      <c r="C829" s="156" t="s">
        <v>713</v>
      </c>
      <c r="D829" s="118"/>
      <c r="E829" s="157"/>
      <c r="F829" s="28"/>
      <c r="G829" s="118"/>
      <c r="H829" s="118"/>
      <c r="I829" s="118"/>
      <c r="J829" s="28"/>
      <c r="K829" s="28"/>
    </row>
    <row r="830" hidden="1">
      <c r="A830" s="118"/>
      <c r="C830" s="156" t="s">
        <v>714</v>
      </c>
      <c r="D830" s="118"/>
      <c r="E830" s="157"/>
      <c r="F830" s="28"/>
      <c r="G830" s="118"/>
      <c r="H830" s="118"/>
      <c r="I830" s="118"/>
      <c r="J830" s="28"/>
      <c r="K830" s="28"/>
    </row>
    <row r="831" hidden="1">
      <c r="A831" s="118"/>
      <c r="C831" s="156" t="s">
        <v>715</v>
      </c>
      <c r="D831" s="118"/>
      <c r="E831" s="157"/>
      <c r="F831" s="28"/>
      <c r="G831" s="118"/>
      <c r="H831" s="118"/>
      <c r="I831" s="118"/>
      <c r="J831" s="28"/>
      <c r="K831" s="28"/>
    </row>
    <row r="832" hidden="1">
      <c r="A832" s="118"/>
      <c r="C832" s="156" t="s">
        <v>716</v>
      </c>
      <c r="D832" s="118"/>
      <c r="E832" s="157"/>
      <c r="F832" s="28"/>
      <c r="G832" s="118"/>
      <c r="H832" s="118"/>
      <c r="I832" s="118"/>
      <c r="J832" s="28"/>
      <c r="K832" s="28"/>
    </row>
    <row r="833" hidden="1">
      <c r="A833" s="118"/>
      <c r="C833" s="156" t="s">
        <v>717</v>
      </c>
      <c r="D833" s="118"/>
      <c r="E833" s="157"/>
      <c r="F833" s="28"/>
      <c r="G833" s="118"/>
      <c r="H833" s="118"/>
      <c r="I833" s="118"/>
      <c r="J833" s="28"/>
      <c r="K833" s="28"/>
    </row>
    <row r="834" hidden="1">
      <c r="A834" s="118"/>
      <c r="C834" s="156" t="s">
        <v>718</v>
      </c>
      <c r="D834" s="118">
        <v>1.0</v>
      </c>
      <c r="E834" s="117" t="str">
        <f>HYPERLINK("https://drive.google.com/open?id=1cjAr9zHIbxmZW6W3RHnSMl7DN61z4wtuWocc95vVID0","01")</f>
        <v>01</v>
      </c>
      <c r="F834" s="118" t="s">
        <v>546</v>
      </c>
      <c r="G834" s="118" t="s">
        <v>314</v>
      </c>
      <c r="H834" s="118" t="s">
        <v>314</v>
      </c>
      <c r="I834" s="118" t="s">
        <v>315</v>
      </c>
      <c r="J834" s="28"/>
      <c r="K834" s="28"/>
    </row>
    <row r="835" hidden="1">
      <c r="A835" s="118">
        <v>39.0</v>
      </c>
      <c r="B835" s="28"/>
      <c r="C835" s="68" t="s">
        <v>719</v>
      </c>
      <c r="D835" s="118"/>
      <c r="E835" s="157"/>
      <c r="F835" s="28"/>
      <c r="G835" s="118"/>
      <c r="H835" s="118"/>
      <c r="I835" s="118"/>
      <c r="J835" s="28"/>
      <c r="K835" s="28"/>
    </row>
    <row r="836" hidden="1">
      <c r="A836" s="118"/>
      <c r="B836" s="28"/>
      <c r="C836" s="68" t="s">
        <v>720</v>
      </c>
      <c r="D836" s="118"/>
      <c r="E836" s="157"/>
      <c r="F836" s="28"/>
      <c r="G836" s="118"/>
      <c r="H836" s="118"/>
      <c r="I836" s="118"/>
      <c r="J836" s="28"/>
      <c r="K836" s="28"/>
    </row>
    <row r="837" hidden="1">
      <c r="A837" s="118"/>
      <c r="B837" s="28"/>
      <c r="C837" s="68" t="s">
        <v>721</v>
      </c>
      <c r="D837" s="118"/>
      <c r="E837" s="157"/>
      <c r="F837" s="28"/>
      <c r="G837" s="118"/>
      <c r="H837" s="118"/>
      <c r="I837" s="118"/>
      <c r="J837" s="28"/>
      <c r="K837" s="28"/>
    </row>
    <row r="838" hidden="1">
      <c r="A838" s="118"/>
      <c r="B838" s="28"/>
      <c r="C838" s="68" t="s">
        <v>722</v>
      </c>
      <c r="D838" s="118"/>
      <c r="E838" s="157"/>
      <c r="F838" s="28"/>
      <c r="G838" s="118"/>
      <c r="H838" s="118"/>
      <c r="I838" s="118"/>
      <c r="J838" s="28"/>
      <c r="K838" s="28"/>
    </row>
    <row r="839" hidden="1">
      <c r="A839" s="118"/>
      <c r="B839" s="28"/>
      <c r="C839" s="68" t="s">
        <v>723</v>
      </c>
      <c r="D839" s="118"/>
      <c r="E839" s="157"/>
      <c r="F839" s="28"/>
      <c r="G839" s="118"/>
      <c r="H839" s="118"/>
      <c r="I839" s="118"/>
      <c r="J839" s="28"/>
      <c r="K839" s="28"/>
    </row>
    <row r="840" hidden="1">
      <c r="A840" s="118"/>
      <c r="B840" s="28"/>
      <c r="C840" s="68" t="s">
        <v>724</v>
      </c>
      <c r="D840" s="118"/>
      <c r="E840" s="157"/>
      <c r="F840" s="28"/>
      <c r="G840" s="118"/>
      <c r="H840" s="118"/>
      <c r="I840" s="118"/>
      <c r="J840" s="28"/>
      <c r="K840" s="28"/>
    </row>
    <row r="841" hidden="1">
      <c r="A841" s="118"/>
      <c r="B841" s="28"/>
      <c r="C841" s="68" t="s">
        <v>725</v>
      </c>
      <c r="D841" s="118"/>
      <c r="E841" s="157"/>
      <c r="F841" s="28"/>
      <c r="G841" s="118"/>
      <c r="H841" s="118"/>
      <c r="I841" s="118"/>
      <c r="J841" s="28"/>
      <c r="K841" s="28"/>
    </row>
    <row r="842" hidden="1">
      <c r="A842" s="118"/>
      <c r="B842" s="28"/>
      <c r="C842" s="68" t="s">
        <v>726</v>
      </c>
      <c r="D842" s="118"/>
      <c r="E842" s="157"/>
      <c r="F842" s="28"/>
      <c r="G842" s="118"/>
      <c r="H842" s="118"/>
      <c r="I842" s="118"/>
      <c r="J842" s="28"/>
      <c r="K842" s="28"/>
    </row>
    <row r="843" hidden="1">
      <c r="A843" s="118"/>
      <c r="B843" s="28"/>
      <c r="C843" s="68" t="s">
        <v>727</v>
      </c>
      <c r="D843" s="118"/>
      <c r="E843" s="157"/>
      <c r="F843" s="28"/>
      <c r="G843" s="118"/>
      <c r="H843" s="118"/>
      <c r="I843" s="118"/>
      <c r="J843" s="28"/>
      <c r="K843" s="28"/>
    </row>
    <row r="844" hidden="1">
      <c r="A844" s="118"/>
      <c r="B844" s="28"/>
      <c r="C844" s="68" t="s">
        <v>728</v>
      </c>
      <c r="D844" s="118"/>
      <c r="E844" s="157"/>
      <c r="F844" s="28"/>
      <c r="G844" s="118"/>
      <c r="H844" s="118"/>
      <c r="I844" s="118"/>
      <c r="J844" s="28"/>
      <c r="K844" s="28"/>
    </row>
    <row r="845" hidden="1">
      <c r="A845" s="118"/>
      <c r="B845" s="28"/>
      <c r="C845" s="68" t="s">
        <v>729</v>
      </c>
      <c r="D845" s="118"/>
      <c r="E845" s="157"/>
      <c r="F845" s="28"/>
      <c r="G845" s="118"/>
      <c r="H845" s="118"/>
      <c r="I845" s="118"/>
      <c r="J845" s="28"/>
      <c r="K845" s="28"/>
    </row>
    <row r="846" hidden="1">
      <c r="A846" s="118"/>
      <c r="B846" s="28"/>
      <c r="C846" s="68" t="s">
        <v>730</v>
      </c>
      <c r="D846" s="118"/>
      <c r="E846" s="157"/>
      <c r="F846" s="28"/>
      <c r="G846" s="118"/>
      <c r="H846" s="118"/>
      <c r="I846" s="118"/>
      <c r="J846" s="28"/>
      <c r="K846" s="28"/>
    </row>
    <row r="847" hidden="1">
      <c r="A847" s="118"/>
      <c r="B847" s="28"/>
      <c r="C847" s="68" t="s">
        <v>731</v>
      </c>
      <c r="D847" s="118"/>
      <c r="E847" s="157"/>
      <c r="F847" s="28"/>
      <c r="G847" s="118"/>
      <c r="H847" s="118"/>
      <c r="I847" s="118"/>
      <c r="J847" s="28"/>
      <c r="K847" s="28"/>
    </row>
    <row r="848" hidden="1">
      <c r="A848" s="118"/>
      <c r="B848" s="28"/>
      <c r="C848" s="68" t="s">
        <v>732</v>
      </c>
      <c r="D848" s="118"/>
      <c r="E848" s="157"/>
      <c r="F848" s="28"/>
      <c r="G848" s="118"/>
      <c r="H848" s="118"/>
      <c r="I848" s="118"/>
      <c r="J848" s="28"/>
      <c r="K848" s="28"/>
    </row>
    <row r="849" hidden="1">
      <c r="A849" s="118"/>
      <c r="B849" s="28"/>
      <c r="C849" s="68" t="s">
        <v>733</v>
      </c>
      <c r="D849" s="118"/>
      <c r="E849" s="157"/>
      <c r="F849" s="28"/>
      <c r="G849" s="118"/>
      <c r="H849" s="118"/>
      <c r="I849" s="118"/>
      <c r="J849" s="28"/>
      <c r="K849" s="28"/>
    </row>
    <row r="850" hidden="1">
      <c r="A850" s="118"/>
      <c r="B850" s="28"/>
      <c r="C850" s="68" t="s">
        <v>734</v>
      </c>
      <c r="D850" s="118"/>
      <c r="E850" s="157"/>
      <c r="F850" s="28"/>
      <c r="G850" s="118"/>
      <c r="H850" s="118"/>
      <c r="I850" s="118"/>
      <c r="J850" s="28"/>
      <c r="K850" s="28"/>
    </row>
    <row r="851" hidden="1">
      <c r="A851" s="118"/>
      <c r="B851" s="28"/>
      <c r="C851" s="68" t="s">
        <v>735</v>
      </c>
      <c r="D851" s="118"/>
      <c r="E851" s="157"/>
      <c r="F851" s="28"/>
      <c r="G851" s="118"/>
      <c r="H851" s="118"/>
      <c r="I851" s="118"/>
      <c r="J851" s="28"/>
      <c r="K851" s="28"/>
    </row>
    <row r="852" hidden="1">
      <c r="A852" s="118"/>
      <c r="B852" s="28"/>
      <c r="C852" s="68" t="s">
        <v>736</v>
      </c>
      <c r="D852" s="118"/>
      <c r="E852" s="157"/>
      <c r="F852" s="28"/>
      <c r="G852" s="118"/>
      <c r="H852" s="118"/>
      <c r="I852" s="118"/>
      <c r="J852" s="28"/>
      <c r="K852" s="28"/>
    </row>
    <row r="853" hidden="1">
      <c r="A853" s="118"/>
      <c r="B853" s="28"/>
      <c r="C853" s="68" t="s">
        <v>737</v>
      </c>
      <c r="D853" s="118">
        <v>1.0</v>
      </c>
      <c r="E853" s="117" t="str">
        <f>HYPERLINK("https://drive.google.com/open?id=14IYCanLSY7w-crjKm95ASZRKyXail0q6K0z7VBD_46g","01")</f>
        <v>01</v>
      </c>
      <c r="F853" s="118" t="s">
        <v>318</v>
      </c>
      <c r="G853" s="118" t="s">
        <v>314</v>
      </c>
      <c r="H853" s="118" t="s">
        <v>314</v>
      </c>
      <c r="I853" s="118" t="s">
        <v>315</v>
      </c>
      <c r="J853" s="118" t="s">
        <v>39</v>
      </c>
      <c r="K853" s="118" t="s">
        <v>31</v>
      </c>
    </row>
    <row r="854" hidden="1">
      <c r="A854" s="118"/>
      <c r="B854" s="28"/>
      <c r="C854" s="68" t="s">
        <v>738</v>
      </c>
      <c r="D854" s="118"/>
      <c r="E854" s="157"/>
      <c r="F854" s="28"/>
      <c r="G854" s="118"/>
      <c r="H854" s="118"/>
      <c r="I854" s="118"/>
      <c r="J854" s="28"/>
      <c r="K854" s="28"/>
    </row>
    <row r="855">
      <c r="A855" s="82" t="str">
        <f>HYPERLINK("https://drive.google.com/open?id=1nwGuabTBpqSnQctb9nPCjywHmHqZbNmhz_zFuRO5744","40")</f>
        <v>40</v>
      </c>
      <c r="B855" s="83">
        <v>75.0</v>
      </c>
      <c r="C855" s="83" t="s">
        <v>108</v>
      </c>
      <c r="D855" s="83">
        <v>6.0</v>
      </c>
      <c r="E855" s="158">
        <v>5.0</v>
      </c>
      <c r="F855" s="100" t="s">
        <v>675</v>
      </c>
      <c r="G855" s="100" t="s">
        <v>334</v>
      </c>
      <c r="H855" s="100" t="s">
        <v>334</v>
      </c>
      <c r="I855" s="100" t="s">
        <v>334</v>
      </c>
      <c r="J855" s="83" t="s">
        <v>110</v>
      </c>
      <c r="K855" s="83" t="s">
        <v>84</v>
      </c>
      <c r="L855" s="159" t="s">
        <v>739</v>
      </c>
    </row>
    <row r="856">
      <c r="A856" s="86"/>
      <c r="B856" s="86"/>
      <c r="C856" s="86"/>
      <c r="D856" s="86"/>
      <c r="E856" s="160">
        <v>7.0</v>
      </c>
      <c r="F856" s="91"/>
      <c r="G856" s="91" t="s">
        <v>334</v>
      </c>
      <c r="H856" s="91" t="s">
        <v>334</v>
      </c>
      <c r="I856" s="91" t="s">
        <v>334</v>
      </c>
      <c r="J856" s="86"/>
      <c r="K856" s="86"/>
      <c r="L856" s="161" t="s">
        <v>739</v>
      </c>
    </row>
    <row r="857">
      <c r="A857" s="86"/>
      <c r="B857" s="86"/>
      <c r="C857" s="86"/>
      <c r="D857" s="86"/>
      <c r="E857" s="160">
        <v>8.0</v>
      </c>
      <c r="F857" s="91" t="s">
        <v>9</v>
      </c>
      <c r="G857" s="91" t="s">
        <v>334</v>
      </c>
      <c r="H857" s="91" t="s">
        <v>334</v>
      </c>
      <c r="I857" s="91" t="s">
        <v>334</v>
      </c>
      <c r="J857" s="86"/>
      <c r="K857" s="86"/>
      <c r="L857" s="161" t="s">
        <v>739</v>
      </c>
    </row>
    <row r="858">
      <c r="A858" s="86"/>
      <c r="B858" s="86"/>
      <c r="C858" s="86"/>
      <c r="D858" s="86"/>
      <c r="E858" s="160">
        <v>11.0</v>
      </c>
      <c r="F858" s="91"/>
      <c r="G858" s="91" t="s">
        <v>334</v>
      </c>
      <c r="H858" s="91" t="s">
        <v>334</v>
      </c>
      <c r="I858" s="91" t="s">
        <v>334</v>
      </c>
      <c r="J858" s="86"/>
      <c r="K858" s="86"/>
      <c r="L858" s="161" t="s">
        <v>739</v>
      </c>
    </row>
    <row r="859">
      <c r="A859" s="86"/>
      <c r="B859" s="86"/>
      <c r="C859" s="86"/>
      <c r="D859" s="86"/>
      <c r="E859" s="160">
        <v>13.0</v>
      </c>
      <c r="F859" s="91" t="s">
        <v>740</v>
      </c>
      <c r="G859" s="91" t="s">
        <v>334</v>
      </c>
      <c r="H859" s="91" t="s">
        <v>334</v>
      </c>
      <c r="I859" s="91" t="s">
        <v>334</v>
      </c>
      <c r="J859" s="86"/>
      <c r="K859" s="86"/>
      <c r="L859" s="161" t="s">
        <v>739</v>
      </c>
    </row>
    <row r="860">
      <c r="A860" s="86"/>
      <c r="B860" s="86"/>
      <c r="C860" s="7"/>
      <c r="D860" s="7"/>
      <c r="E860" s="162">
        <v>15.0</v>
      </c>
      <c r="F860" s="104" t="s">
        <v>741</v>
      </c>
      <c r="G860" s="104" t="s">
        <v>334</v>
      </c>
      <c r="H860" s="104" t="s">
        <v>334</v>
      </c>
      <c r="I860" s="104" t="s">
        <v>334</v>
      </c>
      <c r="J860" s="7"/>
      <c r="K860" s="7"/>
      <c r="L860" s="163"/>
    </row>
    <row r="861">
      <c r="A861" s="86"/>
      <c r="B861" s="86"/>
      <c r="C861" s="83" t="s">
        <v>132</v>
      </c>
      <c r="D861" s="83">
        <v>7.0</v>
      </c>
      <c r="E861" s="158">
        <v>5.0</v>
      </c>
      <c r="F861" s="100" t="s">
        <v>675</v>
      </c>
      <c r="G861" s="100" t="s">
        <v>334</v>
      </c>
      <c r="H861" s="100" t="s">
        <v>334</v>
      </c>
      <c r="I861" s="118" t="s">
        <v>334</v>
      </c>
      <c r="J861" s="83" t="s">
        <v>131</v>
      </c>
      <c r="K861" s="83" t="s">
        <v>48</v>
      </c>
      <c r="L861" s="111" t="s">
        <v>739</v>
      </c>
    </row>
    <row r="862">
      <c r="A862" s="86"/>
      <c r="B862" s="86"/>
      <c r="C862" s="86"/>
      <c r="D862" s="86"/>
      <c r="E862" s="160">
        <v>6.0</v>
      </c>
      <c r="F862" s="91" t="s">
        <v>529</v>
      </c>
      <c r="G862" s="91" t="s">
        <v>334</v>
      </c>
      <c r="H862" s="91" t="s">
        <v>334</v>
      </c>
      <c r="I862" s="118" t="s">
        <v>334</v>
      </c>
      <c r="J862" s="86"/>
      <c r="K862" s="86"/>
      <c r="L862" s="164" t="s">
        <v>739</v>
      </c>
    </row>
    <row r="863">
      <c r="A863" s="86"/>
      <c r="B863" s="86"/>
      <c r="C863" s="86"/>
      <c r="D863" s="86"/>
      <c r="E863" s="160">
        <v>7.0</v>
      </c>
      <c r="F863" s="91"/>
      <c r="G863" s="91" t="s">
        <v>334</v>
      </c>
      <c r="H863" s="91" t="s">
        <v>334</v>
      </c>
      <c r="I863" s="118" t="s">
        <v>334</v>
      </c>
      <c r="J863" s="86"/>
      <c r="K863" s="86"/>
      <c r="L863" s="164" t="s">
        <v>739</v>
      </c>
    </row>
    <row r="864">
      <c r="A864" s="86"/>
      <c r="B864" s="86"/>
      <c r="C864" s="86"/>
      <c r="D864" s="86"/>
      <c r="E864" s="160">
        <v>10.0</v>
      </c>
      <c r="F864" s="91" t="s">
        <v>659</v>
      </c>
      <c r="G864" s="91" t="s">
        <v>334</v>
      </c>
      <c r="H864" s="91" t="s">
        <v>334</v>
      </c>
      <c r="I864" s="118" t="s">
        <v>334</v>
      </c>
      <c r="J864" s="86"/>
      <c r="K864" s="86"/>
      <c r="L864" s="164" t="s">
        <v>739</v>
      </c>
    </row>
    <row r="865">
      <c r="A865" s="86"/>
      <c r="B865" s="86"/>
      <c r="C865" s="86"/>
      <c r="D865" s="86"/>
      <c r="E865" s="160">
        <v>11.0</v>
      </c>
      <c r="F865" s="91"/>
      <c r="G865" s="91" t="s">
        <v>334</v>
      </c>
      <c r="H865" s="91" t="s">
        <v>334</v>
      </c>
      <c r="I865" s="118" t="s">
        <v>334</v>
      </c>
      <c r="J865" s="86"/>
      <c r="K865" s="86"/>
      <c r="L865" s="164" t="s">
        <v>739</v>
      </c>
    </row>
    <row r="866">
      <c r="A866" s="86"/>
      <c r="B866" s="86"/>
      <c r="C866" s="86"/>
      <c r="D866" s="86"/>
      <c r="E866" s="160">
        <v>13.0</v>
      </c>
      <c r="F866" s="91" t="s">
        <v>740</v>
      </c>
      <c r="G866" s="91" t="s">
        <v>334</v>
      </c>
      <c r="H866" s="91" t="s">
        <v>334</v>
      </c>
      <c r="I866" s="118" t="s">
        <v>334</v>
      </c>
      <c r="J866" s="86"/>
      <c r="K866" s="86"/>
      <c r="L866" s="164" t="s">
        <v>739</v>
      </c>
    </row>
    <row r="867">
      <c r="A867" s="86"/>
      <c r="B867" s="86"/>
      <c r="C867" s="7"/>
      <c r="D867" s="7"/>
      <c r="E867" s="162">
        <v>15.0</v>
      </c>
      <c r="F867" s="104" t="s">
        <v>741</v>
      </c>
      <c r="G867" s="104" t="s">
        <v>334</v>
      </c>
      <c r="H867" s="104" t="s">
        <v>334</v>
      </c>
      <c r="I867" s="118" t="s">
        <v>334</v>
      </c>
      <c r="J867" s="7"/>
      <c r="K867" s="7"/>
      <c r="L867" s="164"/>
    </row>
    <row r="868">
      <c r="A868" s="86"/>
      <c r="B868" s="86"/>
      <c r="C868" s="83" t="s">
        <v>122</v>
      </c>
      <c r="D868" s="83">
        <v>7.0</v>
      </c>
      <c r="E868" s="158">
        <v>5.0</v>
      </c>
      <c r="F868" s="100" t="s">
        <v>675</v>
      </c>
      <c r="G868" s="100" t="s">
        <v>334</v>
      </c>
      <c r="H868" s="100" t="s">
        <v>334</v>
      </c>
      <c r="I868" s="100" t="s">
        <v>334</v>
      </c>
      <c r="J868" s="83" t="s">
        <v>124</v>
      </c>
      <c r="K868" s="83" t="s">
        <v>43</v>
      </c>
      <c r="L868" s="111" t="s">
        <v>739</v>
      </c>
    </row>
    <row r="869">
      <c r="A869" s="86"/>
      <c r="B869" s="86"/>
      <c r="C869" s="86"/>
      <c r="D869" s="86"/>
      <c r="E869" s="160">
        <v>6.0</v>
      </c>
      <c r="F869" s="91" t="s">
        <v>529</v>
      </c>
      <c r="G869" s="91" t="s">
        <v>334</v>
      </c>
      <c r="H869" s="91" t="s">
        <v>334</v>
      </c>
      <c r="I869" s="91" t="s">
        <v>334</v>
      </c>
      <c r="J869" s="86"/>
      <c r="K869" s="86"/>
      <c r="L869" s="164" t="s">
        <v>739</v>
      </c>
    </row>
    <row r="870">
      <c r="A870" s="86"/>
      <c r="B870" s="86"/>
      <c r="C870" s="86"/>
      <c r="D870" s="86"/>
      <c r="E870" s="160">
        <v>8.0</v>
      </c>
      <c r="F870" s="91" t="s">
        <v>9</v>
      </c>
      <c r="G870" s="91" t="s">
        <v>334</v>
      </c>
      <c r="H870" s="91" t="s">
        <v>334</v>
      </c>
      <c r="I870" s="91" t="s">
        <v>334</v>
      </c>
      <c r="J870" s="86"/>
      <c r="K870" s="86"/>
      <c r="L870" s="164" t="s">
        <v>739</v>
      </c>
    </row>
    <row r="871">
      <c r="A871" s="86"/>
      <c r="B871" s="86"/>
      <c r="C871" s="86"/>
      <c r="D871" s="86"/>
      <c r="E871" s="160">
        <v>9.0</v>
      </c>
      <c r="F871" s="91"/>
      <c r="G871" s="91" t="s">
        <v>334</v>
      </c>
      <c r="H871" s="91" t="s">
        <v>334</v>
      </c>
      <c r="I871" s="91" t="s">
        <v>334</v>
      </c>
      <c r="J871" s="86"/>
      <c r="K871" s="86"/>
      <c r="L871" s="164" t="s">
        <v>739</v>
      </c>
    </row>
    <row r="872">
      <c r="A872" s="86"/>
      <c r="B872" s="86"/>
      <c r="C872" s="86"/>
      <c r="D872" s="86"/>
      <c r="E872" s="160">
        <v>11.0</v>
      </c>
      <c r="F872" s="91"/>
      <c r="G872" s="91" t="s">
        <v>334</v>
      </c>
      <c r="H872" s="91" t="s">
        <v>334</v>
      </c>
      <c r="I872" s="91" t="s">
        <v>334</v>
      </c>
      <c r="J872" s="86"/>
      <c r="K872" s="86"/>
      <c r="L872" s="164" t="s">
        <v>739</v>
      </c>
    </row>
    <row r="873">
      <c r="A873" s="86"/>
      <c r="B873" s="86"/>
      <c r="C873" s="86"/>
      <c r="D873" s="86"/>
      <c r="E873" s="160">
        <v>13.0</v>
      </c>
      <c r="F873" s="91" t="s">
        <v>740</v>
      </c>
      <c r="G873" s="91" t="s">
        <v>334</v>
      </c>
      <c r="H873" s="91" t="s">
        <v>334</v>
      </c>
      <c r="I873" s="91" t="s">
        <v>334</v>
      </c>
      <c r="J873" s="86"/>
      <c r="K873" s="86"/>
      <c r="L873" s="164" t="s">
        <v>739</v>
      </c>
    </row>
    <row r="874">
      <c r="A874" s="86"/>
      <c r="B874" s="86"/>
      <c r="C874" s="7"/>
      <c r="D874" s="7"/>
      <c r="E874" s="162">
        <v>15.0</v>
      </c>
      <c r="F874" s="104" t="s">
        <v>741</v>
      </c>
      <c r="G874" s="104" t="s">
        <v>334</v>
      </c>
      <c r="H874" s="104" t="s">
        <v>334</v>
      </c>
      <c r="I874" s="104" t="s">
        <v>334</v>
      </c>
      <c r="J874" s="7"/>
      <c r="K874" s="7"/>
      <c r="L874" s="165"/>
    </row>
    <row r="875">
      <c r="A875" s="86"/>
      <c r="B875" s="86"/>
      <c r="C875" s="83" t="s">
        <v>94</v>
      </c>
      <c r="D875" s="83">
        <v>4.0</v>
      </c>
      <c r="E875" s="160">
        <v>9.0</v>
      </c>
      <c r="F875" s="89"/>
      <c r="G875" s="100" t="s">
        <v>334</v>
      </c>
      <c r="H875" s="100" t="s">
        <v>334</v>
      </c>
      <c r="I875" s="118" t="s">
        <v>334</v>
      </c>
      <c r="J875" s="83" t="s">
        <v>96</v>
      </c>
      <c r="K875" s="83" t="s">
        <v>58</v>
      </c>
      <c r="L875" s="164" t="s">
        <v>739</v>
      </c>
    </row>
    <row r="876">
      <c r="A876" s="86"/>
      <c r="B876" s="86"/>
      <c r="C876" s="86"/>
      <c r="D876" s="86"/>
      <c r="E876" s="160">
        <v>11.0</v>
      </c>
      <c r="F876" s="107"/>
      <c r="G876" s="91" t="s">
        <v>334</v>
      </c>
      <c r="H876" s="91" t="s">
        <v>334</v>
      </c>
      <c r="I876" s="118" t="s">
        <v>334</v>
      </c>
      <c r="J876" s="86"/>
      <c r="K876" s="86"/>
      <c r="L876" s="164" t="s">
        <v>739</v>
      </c>
    </row>
    <row r="877">
      <c r="A877" s="86"/>
      <c r="B877" s="86"/>
      <c r="C877" s="86"/>
      <c r="D877" s="86"/>
      <c r="E877" s="160">
        <v>13.0</v>
      </c>
      <c r="F877" s="91" t="s">
        <v>740</v>
      </c>
      <c r="G877" s="91" t="s">
        <v>334</v>
      </c>
      <c r="H877" s="91" t="s">
        <v>334</v>
      </c>
      <c r="I877" s="118" t="s">
        <v>334</v>
      </c>
      <c r="J877" s="86"/>
      <c r="K877" s="86"/>
      <c r="L877" s="164" t="s">
        <v>739</v>
      </c>
    </row>
    <row r="878">
      <c r="A878" s="86"/>
      <c r="B878" s="86"/>
      <c r="C878" s="7"/>
      <c r="D878" s="7"/>
      <c r="E878" s="162">
        <v>15.0</v>
      </c>
      <c r="F878" s="104" t="s">
        <v>741</v>
      </c>
      <c r="G878" s="104" t="s">
        <v>334</v>
      </c>
      <c r="H878" s="104" t="s">
        <v>334</v>
      </c>
      <c r="I878" s="118" t="s">
        <v>334</v>
      </c>
      <c r="J878" s="7"/>
      <c r="K878" s="7"/>
      <c r="L878" s="164"/>
    </row>
    <row r="879">
      <c r="A879" s="86"/>
      <c r="B879" s="86"/>
      <c r="C879" s="83" t="s">
        <v>101</v>
      </c>
      <c r="D879" s="83">
        <v>3.0</v>
      </c>
      <c r="E879" s="160">
        <v>8.0</v>
      </c>
      <c r="F879" s="100" t="s">
        <v>9</v>
      </c>
      <c r="G879" s="100" t="s">
        <v>334</v>
      </c>
      <c r="H879" s="100" t="s">
        <v>334</v>
      </c>
      <c r="I879" s="100" t="s">
        <v>334</v>
      </c>
      <c r="J879" s="83" t="s">
        <v>103</v>
      </c>
      <c r="K879" s="83" t="s">
        <v>46</v>
      </c>
      <c r="L879" s="111" t="s">
        <v>739</v>
      </c>
    </row>
    <row r="880">
      <c r="A880" s="86"/>
      <c r="B880" s="86"/>
      <c r="C880" s="86"/>
      <c r="D880" s="86"/>
      <c r="E880" s="160">
        <v>13.0</v>
      </c>
      <c r="F880" s="91" t="s">
        <v>740</v>
      </c>
      <c r="G880" s="91" t="s">
        <v>334</v>
      </c>
      <c r="H880" s="91" t="s">
        <v>334</v>
      </c>
      <c r="I880" s="91" t="s">
        <v>334</v>
      </c>
      <c r="J880" s="86"/>
      <c r="K880" s="86"/>
      <c r="L880" s="164" t="s">
        <v>739</v>
      </c>
    </row>
    <row r="881">
      <c r="A881" s="86"/>
      <c r="B881" s="86"/>
      <c r="C881" s="7"/>
      <c r="D881" s="7"/>
      <c r="E881" s="162">
        <v>15.0</v>
      </c>
      <c r="F881" s="104" t="s">
        <v>741</v>
      </c>
      <c r="G881" s="104" t="s">
        <v>334</v>
      </c>
      <c r="H881" s="104" t="s">
        <v>334</v>
      </c>
      <c r="I881" s="104" t="s">
        <v>334</v>
      </c>
      <c r="J881" s="7"/>
      <c r="K881" s="7"/>
      <c r="L881" s="165"/>
    </row>
    <row r="882">
      <c r="A882" s="86"/>
      <c r="B882" s="86"/>
      <c r="C882" s="83" t="s">
        <v>129</v>
      </c>
      <c r="D882" s="87">
        <v>2.0</v>
      </c>
      <c r="E882" s="158">
        <v>2.0</v>
      </c>
      <c r="F882" s="166"/>
      <c r="G882" s="100" t="s">
        <v>315</v>
      </c>
      <c r="H882" s="100" t="s">
        <v>315</v>
      </c>
      <c r="I882" s="100" t="s">
        <v>314</v>
      </c>
      <c r="J882" s="83" t="s">
        <v>112</v>
      </c>
      <c r="K882" s="83" t="s">
        <v>60</v>
      </c>
      <c r="L882" s="111" t="s">
        <v>742</v>
      </c>
    </row>
    <row r="883">
      <c r="A883" s="86"/>
      <c r="B883" s="86"/>
      <c r="C883" s="7"/>
      <c r="D883" s="95"/>
      <c r="E883" s="162">
        <v>5.0</v>
      </c>
      <c r="F883" s="104" t="s">
        <v>675</v>
      </c>
      <c r="G883" s="104" t="s">
        <v>314</v>
      </c>
      <c r="H883" s="104" t="s">
        <v>315</v>
      </c>
      <c r="I883" s="104" t="s">
        <v>314</v>
      </c>
      <c r="J883" s="7"/>
      <c r="K883" s="7"/>
      <c r="L883" s="7"/>
    </row>
    <row r="884">
      <c r="A884" s="86"/>
      <c r="B884" s="86"/>
      <c r="C884" s="83" t="s">
        <v>125</v>
      </c>
      <c r="D884" s="83">
        <v>6.0</v>
      </c>
      <c r="E884" s="160">
        <v>6.0</v>
      </c>
      <c r="F884" s="116" t="s">
        <v>529</v>
      </c>
      <c r="G884" s="100" t="s">
        <v>314</v>
      </c>
      <c r="H884" s="116" t="s">
        <v>314</v>
      </c>
      <c r="I884" s="100" t="s">
        <v>315</v>
      </c>
      <c r="J884" s="83" t="s">
        <v>111</v>
      </c>
      <c r="K884" s="83" t="s">
        <v>37</v>
      </c>
      <c r="L884" s="167"/>
    </row>
    <row r="885">
      <c r="A885" s="86"/>
      <c r="B885" s="86"/>
      <c r="C885" s="86"/>
      <c r="D885" s="86"/>
      <c r="E885" s="160">
        <v>8.0</v>
      </c>
      <c r="F885" s="118" t="s">
        <v>9</v>
      </c>
      <c r="G885" s="91" t="s">
        <v>334</v>
      </c>
      <c r="H885" s="118" t="s">
        <v>334</v>
      </c>
      <c r="I885" s="91" t="s">
        <v>334</v>
      </c>
      <c r="J885" s="86"/>
      <c r="K885" s="86"/>
      <c r="L885" s="161" t="s">
        <v>739</v>
      </c>
    </row>
    <row r="886">
      <c r="A886" s="86"/>
      <c r="B886" s="86"/>
      <c r="C886" s="86"/>
      <c r="D886" s="86"/>
      <c r="E886" s="160">
        <v>9.0</v>
      </c>
      <c r="F886" s="118"/>
      <c r="G886" s="91" t="s">
        <v>334</v>
      </c>
      <c r="H886" s="118" t="s">
        <v>334</v>
      </c>
      <c r="I886" s="91" t="s">
        <v>334</v>
      </c>
      <c r="J886" s="86"/>
      <c r="K886" s="86"/>
      <c r="L886" s="161" t="s">
        <v>739</v>
      </c>
    </row>
    <row r="887">
      <c r="A887" s="86"/>
      <c r="B887" s="86"/>
      <c r="C887" s="86"/>
      <c r="D887" s="86"/>
      <c r="E887" s="160">
        <v>11.0</v>
      </c>
      <c r="F887" s="118"/>
      <c r="G887" s="91" t="s">
        <v>334</v>
      </c>
      <c r="H887" s="118" t="s">
        <v>334</v>
      </c>
      <c r="I887" s="91" t="s">
        <v>334</v>
      </c>
      <c r="J887" s="86"/>
      <c r="K887" s="86"/>
      <c r="L887" s="161" t="s">
        <v>739</v>
      </c>
    </row>
    <row r="888">
      <c r="A888" s="86"/>
      <c r="B888" s="86"/>
      <c r="C888" s="86"/>
      <c r="D888" s="86"/>
      <c r="E888" s="160">
        <v>13.0</v>
      </c>
      <c r="F888" s="118" t="s">
        <v>740</v>
      </c>
      <c r="G888" s="91" t="s">
        <v>334</v>
      </c>
      <c r="H888" s="118" t="s">
        <v>334</v>
      </c>
      <c r="I888" s="91" t="s">
        <v>334</v>
      </c>
      <c r="J888" s="86"/>
      <c r="K888" s="86"/>
      <c r="L888" s="161" t="s">
        <v>739</v>
      </c>
    </row>
    <row r="889">
      <c r="A889" s="86"/>
      <c r="B889" s="86"/>
      <c r="C889" s="7"/>
      <c r="D889" s="7"/>
      <c r="E889" s="162">
        <v>15.0</v>
      </c>
      <c r="F889" s="120" t="s">
        <v>741</v>
      </c>
      <c r="G889" s="104" t="s">
        <v>334</v>
      </c>
      <c r="H889" s="120" t="s">
        <v>334</v>
      </c>
      <c r="I889" s="104" t="s">
        <v>334</v>
      </c>
      <c r="J889" s="7"/>
      <c r="K889" s="7"/>
      <c r="L889" s="163"/>
    </row>
    <row r="890">
      <c r="A890" s="86"/>
      <c r="B890" s="86"/>
      <c r="C890" s="83" t="s">
        <v>134</v>
      </c>
      <c r="D890" s="83">
        <v>5.0</v>
      </c>
      <c r="E890" s="158">
        <v>3.0</v>
      </c>
      <c r="F890" s="28"/>
      <c r="G890" s="91" t="s">
        <v>315</v>
      </c>
      <c r="H890" s="118" t="s">
        <v>315</v>
      </c>
      <c r="I890" s="91" t="s">
        <v>314</v>
      </c>
      <c r="J890" s="83" t="s">
        <v>100</v>
      </c>
      <c r="K890" s="83" t="s">
        <v>24</v>
      </c>
      <c r="L890" s="102"/>
    </row>
    <row r="891">
      <c r="A891" s="86"/>
      <c r="B891" s="86"/>
      <c r="C891" s="86"/>
      <c r="D891" s="86"/>
      <c r="E891" s="160">
        <v>9.0</v>
      </c>
      <c r="F891" s="28"/>
      <c r="G891" s="91" t="s">
        <v>334</v>
      </c>
      <c r="H891" s="118" t="s">
        <v>334</v>
      </c>
      <c r="I891" s="91" t="s">
        <v>334</v>
      </c>
      <c r="J891" s="86"/>
      <c r="K891" s="86"/>
      <c r="L891" s="161" t="s">
        <v>739</v>
      </c>
    </row>
    <row r="892">
      <c r="A892" s="86"/>
      <c r="B892" s="86"/>
      <c r="C892" s="86"/>
      <c r="D892" s="86"/>
      <c r="E892" s="160">
        <v>11.0</v>
      </c>
      <c r="F892" s="28"/>
      <c r="G892" s="91" t="s">
        <v>334</v>
      </c>
      <c r="H892" s="118" t="s">
        <v>334</v>
      </c>
      <c r="I892" s="91" t="s">
        <v>334</v>
      </c>
      <c r="J892" s="86"/>
      <c r="K892" s="86"/>
      <c r="L892" s="161" t="s">
        <v>739</v>
      </c>
    </row>
    <row r="893">
      <c r="A893" s="86"/>
      <c r="B893" s="86"/>
      <c r="C893" s="86"/>
      <c r="D893" s="86"/>
      <c r="E893" s="160">
        <v>13.0</v>
      </c>
      <c r="F893" s="118" t="s">
        <v>740</v>
      </c>
      <c r="G893" s="91" t="s">
        <v>334</v>
      </c>
      <c r="H893" s="118" t="s">
        <v>334</v>
      </c>
      <c r="I893" s="91" t="s">
        <v>334</v>
      </c>
      <c r="J893" s="86"/>
      <c r="K893" s="86"/>
      <c r="L893" s="161" t="s">
        <v>739</v>
      </c>
    </row>
    <row r="894">
      <c r="A894" s="86"/>
      <c r="B894" s="86"/>
      <c r="C894" s="7"/>
      <c r="D894" s="7"/>
      <c r="E894" s="162">
        <v>15.0</v>
      </c>
      <c r="F894" s="118" t="s">
        <v>741</v>
      </c>
      <c r="G894" s="91" t="s">
        <v>334</v>
      </c>
      <c r="H894" s="118" t="s">
        <v>334</v>
      </c>
      <c r="I894" s="91" t="s">
        <v>334</v>
      </c>
      <c r="J894" s="7"/>
      <c r="K894" s="7"/>
      <c r="L894" s="161"/>
    </row>
    <row r="895">
      <c r="A895" s="86"/>
      <c r="B895" s="86"/>
      <c r="C895" s="83" t="s">
        <v>80</v>
      </c>
      <c r="D895" s="83">
        <v>4.0</v>
      </c>
      <c r="E895" s="160">
        <v>11.0</v>
      </c>
      <c r="F895" s="143"/>
      <c r="G895" s="100" t="s">
        <v>334</v>
      </c>
      <c r="H895" s="116" t="s">
        <v>334</v>
      </c>
      <c r="I895" s="100" t="s">
        <v>334</v>
      </c>
      <c r="J895" s="83" t="s">
        <v>82</v>
      </c>
      <c r="K895" s="83" t="s">
        <v>40</v>
      </c>
      <c r="L895" s="159" t="s">
        <v>739</v>
      </c>
    </row>
    <row r="896">
      <c r="A896" s="86"/>
      <c r="B896" s="86"/>
      <c r="C896" s="86"/>
      <c r="D896" s="86"/>
      <c r="E896" s="160">
        <v>13.0</v>
      </c>
      <c r="F896" s="118" t="s">
        <v>740</v>
      </c>
      <c r="G896" s="91" t="s">
        <v>334</v>
      </c>
      <c r="H896" s="118" t="s">
        <v>334</v>
      </c>
      <c r="I896" s="91" t="s">
        <v>334</v>
      </c>
      <c r="J896" s="86"/>
      <c r="K896" s="86"/>
      <c r="L896" s="161" t="s">
        <v>739</v>
      </c>
    </row>
    <row r="897">
      <c r="A897" s="86"/>
      <c r="B897" s="86"/>
      <c r="C897" s="86"/>
      <c r="D897" s="86"/>
      <c r="E897" s="160">
        <v>14.0</v>
      </c>
      <c r="F897" s="118" t="s">
        <v>743</v>
      </c>
      <c r="G897" s="91" t="s">
        <v>334</v>
      </c>
      <c r="H897" s="118" t="s">
        <v>334</v>
      </c>
      <c r="I897" s="91" t="s">
        <v>334</v>
      </c>
      <c r="J897" s="86"/>
      <c r="K897" s="86"/>
      <c r="L897" s="161" t="s">
        <v>739</v>
      </c>
    </row>
    <row r="898">
      <c r="A898" s="86"/>
      <c r="B898" s="86"/>
      <c r="C898" s="7"/>
      <c r="D898" s="7"/>
      <c r="E898" s="162">
        <v>15.0</v>
      </c>
      <c r="F898" s="120" t="s">
        <v>741</v>
      </c>
      <c r="G898" s="104" t="s">
        <v>334</v>
      </c>
      <c r="H898" s="120" t="s">
        <v>334</v>
      </c>
      <c r="I898" s="104" t="s">
        <v>334</v>
      </c>
      <c r="J898" s="7"/>
      <c r="K898" s="7"/>
      <c r="L898" s="163"/>
    </row>
    <row r="899">
      <c r="A899" s="86"/>
      <c r="B899" s="86"/>
      <c r="C899" s="83" t="s">
        <v>93</v>
      </c>
      <c r="D899" s="83">
        <v>4.0</v>
      </c>
      <c r="E899" s="158">
        <v>5.0</v>
      </c>
      <c r="F899" s="118" t="s">
        <v>675</v>
      </c>
      <c r="G899" s="91" t="s">
        <v>334</v>
      </c>
      <c r="H899" s="118" t="s">
        <v>334</v>
      </c>
      <c r="I899" s="91" t="s">
        <v>334</v>
      </c>
      <c r="J899" s="83" t="s">
        <v>69</v>
      </c>
      <c r="K899" s="83" t="s">
        <v>45</v>
      </c>
      <c r="L899" s="161" t="s">
        <v>739</v>
      </c>
    </row>
    <row r="900">
      <c r="A900" s="86"/>
      <c r="B900" s="86"/>
      <c r="C900" s="86"/>
      <c r="D900" s="86"/>
      <c r="E900" s="160">
        <v>11.0</v>
      </c>
      <c r="F900" s="118"/>
      <c r="G900" s="91" t="s">
        <v>334</v>
      </c>
      <c r="H900" s="118" t="s">
        <v>334</v>
      </c>
      <c r="I900" s="91" t="s">
        <v>334</v>
      </c>
      <c r="J900" s="86"/>
      <c r="K900" s="86"/>
      <c r="L900" s="161" t="s">
        <v>739</v>
      </c>
    </row>
    <row r="901">
      <c r="A901" s="86"/>
      <c r="B901" s="86"/>
      <c r="C901" s="86"/>
      <c r="D901" s="86"/>
      <c r="E901" s="160">
        <v>13.0</v>
      </c>
      <c r="F901" s="118" t="s">
        <v>740</v>
      </c>
      <c r="G901" s="91" t="s">
        <v>334</v>
      </c>
      <c r="H901" s="118" t="s">
        <v>334</v>
      </c>
      <c r="I901" s="91" t="s">
        <v>334</v>
      </c>
      <c r="J901" s="86"/>
      <c r="K901" s="86"/>
      <c r="L901" s="161" t="s">
        <v>739</v>
      </c>
    </row>
    <row r="902">
      <c r="A902" s="86"/>
      <c r="B902" s="86"/>
      <c r="C902" s="7"/>
      <c r="D902" s="7"/>
      <c r="E902" s="162">
        <v>15.0</v>
      </c>
      <c r="F902" s="118" t="s">
        <v>741</v>
      </c>
      <c r="G902" s="91" t="s">
        <v>334</v>
      </c>
      <c r="H902" s="118" t="s">
        <v>334</v>
      </c>
      <c r="I902" s="91" t="s">
        <v>334</v>
      </c>
      <c r="J902" s="7"/>
      <c r="K902" s="7"/>
      <c r="L902" s="161"/>
    </row>
    <row r="903">
      <c r="A903" s="86"/>
      <c r="B903" s="86"/>
      <c r="C903" s="83" t="s">
        <v>120</v>
      </c>
      <c r="D903" s="83">
        <v>6.0</v>
      </c>
      <c r="E903" s="158">
        <v>3.0</v>
      </c>
      <c r="F903" s="143"/>
      <c r="G903" s="100" t="s">
        <v>315</v>
      </c>
      <c r="H903" s="116" t="s">
        <v>315</v>
      </c>
      <c r="I903" s="100" t="s">
        <v>314</v>
      </c>
      <c r="J903" s="83" t="s">
        <v>86</v>
      </c>
      <c r="K903" s="83" t="s">
        <v>54</v>
      </c>
      <c r="L903" s="167"/>
    </row>
    <row r="904">
      <c r="A904" s="86"/>
      <c r="B904" s="86"/>
      <c r="C904" s="86"/>
      <c r="D904" s="86"/>
      <c r="E904" s="160">
        <v>6.0</v>
      </c>
      <c r="F904" s="118" t="s">
        <v>529</v>
      </c>
      <c r="G904" s="91" t="s">
        <v>315</v>
      </c>
      <c r="H904" s="118" t="s">
        <v>315</v>
      </c>
      <c r="I904" s="91" t="s">
        <v>314</v>
      </c>
      <c r="J904" s="86"/>
      <c r="K904" s="86"/>
      <c r="L904" s="102"/>
    </row>
    <row r="905">
      <c r="A905" s="86"/>
      <c r="B905" s="86"/>
      <c r="C905" s="86"/>
      <c r="D905" s="86"/>
      <c r="E905" s="160">
        <v>9.0</v>
      </c>
      <c r="F905" s="118"/>
      <c r="G905" s="91" t="s">
        <v>315</v>
      </c>
      <c r="H905" s="118" t="s">
        <v>314</v>
      </c>
      <c r="I905" s="91" t="s">
        <v>315</v>
      </c>
      <c r="J905" s="86"/>
      <c r="K905" s="86"/>
      <c r="L905" s="102"/>
    </row>
    <row r="906">
      <c r="A906" s="86"/>
      <c r="B906" s="86"/>
      <c r="C906" s="86"/>
      <c r="D906" s="86"/>
      <c r="E906" s="160">
        <v>13.0</v>
      </c>
      <c r="F906" s="118" t="s">
        <v>740</v>
      </c>
      <c r="G906" s="91" t="s">
        <v>334</v>
      </c>
      <c r="H906" s="118" t="s">
        <v>334</v>
      </c>
      <c r="I906" s="91" t="s">
        <v>334</v>
      </c>
      <c r="J906" s="86"/>
      <c r="K906" s="86"/>
      <c r="L906" s="161" t="s">
        <v>739</v>
      </c>
    </row>
    <row r="907">
      <c r="A907" s="86"/>
      <c r="B907" s="86"/>
      <c r="C907" s="86"/>
      <c r="D907" s="86"/>
      <c r="E907" s="160">
        <v>14.0</v>
      </c>
      <c r="F907" s="118" t="s">
        <v>743</v>
      </c>
      <c r="G907" s="91" t="s">
        <v>334</v>
      </c>
      <c r="H907" s="118" t="s">
        <v>334</v>
      </c>
      <c r="I907" s="91" t="s">
        <v>334</v>
      </c>
      <c r="J907" s="86"/>
      <c r="K907" s="86"/>
      <c r="L907" s="161" t="s">
        <v>739</v>
      </c>
    </row>
    <row r="908">
      <c r="A908" s="86"/>
      <c r="B908" s="86"/>
      <c r="C908" s="7"/>
      <c r="D908" s="7"/>
      <c r="E908" s="162">
        <v>15.0</v>
      </c>
      <c r="F908" s="120" t="s">
        <v>741</v>
      </c>
      <c r="G908" s="104" t="s">
        <v>334</v>
      </c>
      <c r="H908" s="120" t="s">
        <v>334</v>
      </c>
      <c r="I908" s="104" t="s">
        <v>334</v>
      </c>
      <c r="J908" s="7"/>
      <c r="K908" s="7"/>
      <c r="L908" s="99"/>
    </row>
    <row r="909">
      <c r="A909" s="86"/>
      <c r="B909" s="86"/>
      <c r="C909" s="83" t="s">
        <v>239</v>
      </c>
      <c r="D909" s="83">
        <v>4.0</v>
      </c>
      <c r="E909" s="158">
        <v>3.0</v>
      </c>
      <c r="F909" s="28"/>
      <c r="G909" s="91" t="s">
        <v>315</v>
      </c>
      <c r="H909" s="118" t="s">
        <v>315</v>
      </c>
      <c r="I909" s="91" t="s">
        <v>314</v>
      </c>
      <c r="J909" s="83" t="s">
        <v>63</v>
      </c>
      <c r="K909" s="83" t="s">
        <v>119</v>
      </c>
      <c r="L909" s="102"/>
    </row>
    <row r="910">
      <c r="A910" s="86"/>
      <c r="B910" s="86"/>
      <c r="C910" s="86"/>
      <c r="D910" s="86"/>
      <c r="E910" s="160">
        <v>4.0</v>
      </c>
      <c r="F910" s="28"/>
      <c r="G910" s="91" t="s">
        <v>314</v>
      </c>
      <c r="H910" s="118" t="s">
        <v>314</v>
      </c>
      <c r="I910" s="91" t="s">
        <v>315</v>
      </c>
      <c r="J910" s="86"/>
      <c r="K910" s="86"/>
      <c r="L910" s="102"/>
    </row>
    <row r="911">
      <c r="A911" s="86"/>
      <c r="B911" s="86"/>
      <c r="C911" s="86"/>
      <c r="D911" s="86"/>
      <c r="E911" s="160">
        <v>13.0</v>
      </c>
      <c r="F911" s="118" t="s">
        <v>740</v>
      </c>
      <c r="G911" s="91" t="s">
        <v>334</v>
      </c>
      <c r="H911" s="118" t="s">
        <v>334</v>
      </c>
      <c r="I911" s="91" t="s">
        <v>334</v>
      </c>
      <c r="J911" s="86"/>
      <c r="K911" s="86"/>
      <c r="L911" s="161" t="s">
        <v>739</v>
      </c>
    </row>
    <row r="912">
      <c r="A912" s="86"/>
      <c r="B912" s="86"/>
      <c r="C912" s="7"/>
      <c r="D912" s="7"/>
      <c r="E912" s="162">
        <v>15.0</v>
      </c>
      <c r="F912" s="118" t="s">
        <v>741</v>
      </c>
      <c r="G912" s="91" t="s">
        <v>334</v>
      </c>
      <c r="H912" s="118" t="s">
        <v>334</v>
      </c>
      <c r="I912" s="91" t="s">
        <v>334</v>
      </c>
      <c r="J912" s="7"/>
      <c r="K912" s="7"/>
      <c r="L912" s="102"/>
    </row>
    <row r="913">
      <c r="A913" s="86"/>
      <c r="B913" s="86"/>
      <c r="C913" s="121" t="s">
        <v>88</v>
      </c>
      <c r="D913" s="121">
        <v>1.0</v>
      </c>
      <c r="E913" s="162">
        <v>15.0</v>
      </c>
      <c r="F913" s="114" t="s">
        <v>741</v>
      </c>
      <c r="G913" s="10" t="s">
        <v>334</v>
      </c>
      <c r="H913" s="114" t="s">
        <v>334</v>
      </c>
      <c r="I913" s="10" t="s">
        <v>334</v>
      </c>
      <c r="J913" s="121" t="s">
        <v>71</v>
      </c>
      <c r="K913" s="121" t="s">
        <v>90</v>
      </c>
      <c r="L913" s="3"/>
    </row>
    <row r="914">
      <c r="A914" s="86"/>
      <c r="B914" s="86"/>
      <c r="C914" s="83" t="s">
        <v>97</v>
      </c>
      <c r="D914" s="83">
        <v>4.0</v>
      </c>
      <c r="E914" s="158">
        <v>2.0</v>
      </c>
      <c r="F914" s="28"/>
      <c r="G914" s="91" t="s">
        <v>315</v>
      </c>
      <c r="H914" s="118" t="s">
        <v>315</v>
      </c>
      <c r="I914" s="91" t="s">
        <v>314</v>
      </c>
      <c r="J914" s="83" t="s">
        <v>44</v>
      </c>
      <c r="K914" s="83" t="s">
        <v>99</v>
      </c>
      <c r="L914" s="102"/>
    </row>
    <row r="915">
      <c r="A915" s="86"/>
      <c r="B915" s="86"/>
      <c r="C915" s="86"/>
      <c r="D915" s="86"/>
      <c r="E915" s="160">
        <v>10.0</v>
      </c>
      <c r="F915" s="118" t="s">
        <v>659</v>
      </c>
      <c r="G915" s="91" t="s">
        <v>315</v>
      </c>
      <c r="H915" s="118" t="s">
        <v>314</v>
      </c>
      <c r="I915" s="91" t="s">
        <v>315</v>
      </c>
      <c r="J915" s="86"/>
      <c r="K915" s="86"/>
      <c r="L915" s="102"/>
    </row>
    <row r="916">
      <c r="A916" s="86"/>
      <c r="B916" s="86"/>
      <c r="C916" s="86"/>
      <c r="D916" s="86"/>
      <c r="E916" s="160">
        <v>11.0</v>
      </c>
      <c r="F916" s="118"/>
      <c r="G916" s="91" t="s">
        <v>314</v>
      </c>
      <c r="H916" s="118" t="s">
        <v>314</v>
      </c>
      <c r="I916" s="91" t="s">
        <v>315</v>
      </c>
      <c r="J916" s="86"/>
      <c r="K916" s="86"/>
      <c r="L916" s="102"/>
    </row>
    <row r="917">
      <c r="A917" s="86"/>
      <c r="B917" s="86"/>
      <c r="C917" s="7"/>
      <c r="D917" s="7"/>
      <c r="E917" s="162">
        <v>15.0</v>
      </c>
      <c r="F917" s="118" t="s">
        <v>741</v>
      </c>
      <c r="G917" s="91" t="s">
        <v>334</v>
      </c>
      <c r="H917" s="118" t="s">
        <v>334</v>
      </c>
      <c r="I917" s="91" t="s">
        <v>334</v>
      </c>
      <c r="J917" s="7"/>
      <c r="K917" s="7"/>
      <c r="L917" s="102"/>
    </row>
    <row r="918">
      <c r="A918" s="86"/>
      <c r="B918" s="86"/>
      <c r="C918" s="83" t="s">
        <v>115</v>
      </c>
      <c r="D918" s="83">
        <v>4.0</v>
      </c>
      <c r="E918" s="160">
        <v>4.0</v>
      </c>
      <c r="F918" s="143"/>
      <c r="G918" s="100" t="s">
        <v>315</v>
      </c>
      <c r="H918" s="116" t="s">
        <v>315</v>
      </c>
      <c r="I918" s="100" t="s">
        <v>314</v>
      </c>
      <c r="J918" s="83" t="s">
        <v>65</v>
      </c>
      <c r="K918" s="83" t="s">
        <v>116</v>
      </c>
      <c r="L918" s="167"/>
    </row>
    <row r="919">
      <c r="A919" s="86"/>
      <c r="B919" s="86"/>
      <c r="C919" s="86"/>
      <c r="D919" s="86"/>
      <c r="E919" s="160">
        <v>9.0</v>
      </c>
      <c r="F919" s="28"/>
      <c r="G919" s="91" t="s">
        <v>314</v>
      </c>
      <c r="H919" s="118" t="s">
        <v>314</v>
      </c>
      <c r="I919" s="91" t="s">
        <v>315</v>
      </c>
      <c r="J919" s="86"/>
      <c r="K919" s="86"/>
      <c r="L919" s="102"/>
    </row>
    <row r="920">
      <c r="A920" s="86"/>
      <c r="B920" s="86"/>
      <c r="C920" s="86"/>
      <c r="D920" s="86"/>
      <c r="E920" s="160">
        <v>10.0</v>
      </c>
      <c r="F920" s="118" t="s">
        <v>659</v>
      </c>
      <c r="G920" s="91" t="s">
        <v>315</v>
      </c>
      <c r="H920" s="118" t="s">
        <v>314</v>
      </c>
      <c r="I920" s="91" t="s">
        <v>315</v>
      </c>
      <c r="J920" s="86"/>
      <c r="K920" s="86"/>
      <c r="L920" s="102"/>
    </row>
    <row r="921">
      <c r="A921" s="86"/>
      <c r="B921" s="86"/>
      <c r="C921" s="7"/>
      <c r="D921" s="7"/>
      <c r="E921" s="162">
        <v>15.0</v>
      </c>
      <c r="F921" s="120" t="s">
        <v>741</v>
      </c>
      <c r="G921" s="104" t="s">
        <v>334</v>
      </c>
      <c r="H921" s="120" t="s">
        <v>334</v>
      </c>
      <c r="I921" s="104" t="s">
        <v>334</v>
      </c>
      <c r="J921" s="7"/>
      <c r="K921" s="7"/>
      <c r="L921" s="99"/>
    </row>
    <row r="922">
      <c r="A922" s="86"/>
      <c r="B922" s="86"/>
      <c r="C922" s="121" t="s">
        <v>72</v>
      </c>
      <c r="D922" s="121">
        <v>1.0</v>
      </c>
      <c r="E922" s="160">
        <v>6.0</v>
      </c>
      <c r="F922" s="118" t="s">
        <v>529</v>
      </c>
      <c r="G922" s="91" t="s">
        <v>315</v>
      </c>
      <c r="H922" s="118" t="s">
        <v>315</v>
      </c>
      <c r="I922" s="91" t="s">
        <v>314</v>
      </c>
      <c r="J922" s="121" t="s">
        <v>55</v>
      </c>
      <c r="K922" s="121" t="s">
        <v>73</v>
      </c>
      <c r="L922" s="102"/>
    </row>
    <row r="923">
      <c r="A923" s="86"/>
      <c r="B923" s="86"/>
      <c r="C923" s="83" t="s">
        <v>79</v>
      </c>
      <c r="D923" s="83">
        <v>3.0</v>
      </c>
      <c r="E923" s="158">
        <v>2.0</v>
      </c>
      <c r="F923" s="143"/>
      <c r="G923" s="100" t="s">
        <v>314</v>
      </c>
      <c r="H923" s="116" t="s">
        <v>314</v>
      </c>
      <c r="I923" s="100" t="s">
        <v>315</v>
      </c>
      <c r="J923" s="83" t="s">
        <v>62</v>
      </c>
      <c r="K923" s="83" t="s">
        <v>33</v>
      </c>
      <c r="L923" s="167"/>
    </row>
    <row r="924">
      <c r="A924" s="86"/>
      <c r="B924" s="86"/>
      <c r="C924" s="86"/>
      <c r="D924" s="86"/>
      <c r="E924" s="160">
        <v>8.0</v>
      </c>
      <c r="F924" s="118" t="s">
        <v>9</v>
      </c>
      <c r="G924" s="91" t="s">
        <v>314</v>
      </c>
      <c r="H924" s="118" t="s">
        <v>314</v>
      </c>
      <c r="I924" s="91" t="s">
        <v>315</v>
      </c>
      <c r="J924" s="86"/>
      <c r="K924" s="86"/>
      <c r="L924" s="102"/>
    </row>
    <row r="925">
      <c r="A925" s="86"/>
      <c r="B925" s="86"/>
      <c r="C925" s="7"/>
      <c r="D925" s="7"/>
      <c r="E925" s="160">
        <v>10.0</v>
      </c>
      <c r="F925" s="120" t="s">
        <v>659</v>
      </c>
      <c r="G925" s="104" t="s">
        <v>315</v>
      </c>
      <c r="H925" s="120" t="s">
        <v>314</v>
      </c>
      <c r="I925" s="104" t="s">
        <v>315</v>
      </c>
      <c r="J925" s="7"/>
      <c r="K925" s="7"/>
      <c r="L925" s="99"/>
    </row>
    <row r="926">
      <c r="A926" s="86"/>
      <c r="B926" s="86"/>
      <c r="C926" s="83" t="s">
        <v>74</v>
      </c>
      <c r="D926" s="83">
        <v>4.0</v>
      </c>
      <c r="E926" s="158">
        <v>5.0</v>
      </c>
      <c r="F926" s="116" t="s">
        <v>675</v>
      </c>
      <c r="G926" s="100" t="s">
        <v>334</v>
      </c>
      <c r="H926" s="116" t="s">
        <v>334</v>
      </c>
      <c r="I926" s="100" t="s">
        <v>334</v>
      </c>
      <c r="J926" s="83" t="s">
        <v>39</v>
      </c>
      <c r="K926" s="83" t="s">
        <v>31</v>
      </c>
      <c r="L926" s="159" t="s">
        <v>739</v>
      </c>
    </row>
    <row r="927">
      <c r="A927" s="86"/>
      <c r="B927" s="86"/>
      <c r="C927" s="86"/>
      <c r="D927" s="86"/>
      <c r="E927" s="160">
        <v>6.0</v>
      </c>
      <c r="F927" s="118" t="s">
        <v>529</v>
      </c>
      <c r="G927" s="91" t="s">
        <v>334</v>
      </c>
      <c r="H927" s="118" t="s">
        <v>334</v>
      </c>
      <c r="I927" s="91" t="s">
        <v>334</v>
      </c>
      <c r="J927" s="86"/>
      <c r="K927" s="86"/>
      <c r="L927" s="161" t="s">
        <v>739</v>
      </c>
    </row>
    <row r="928">
      <c r="A928" s="86"/>
      <c r="B928" s="86"/>
      <c r="C928" s="86"/>
      <c r="D928" s="86"/>
      <c r="E928" s="160">
        <v>7.0</v>
      </c>
      <c r="F928" s="118"/>
      <c r="G928" s="91" t="s">
        <v>334</v>
      </c>
      <c r="H928" s="118" t="s">
        <v>334</v>
      </c>
      <c r="I928" s="91" t="s">
        <v>334</v>
      </c>
      <c r="J928" s="86"/>
      <c r="K928" s="86"/>
      <c r="L928" s="161" t="s">
        <v>739</v>
      </c>
    </row>
    <row r="929">
      <c r="A929" s="7"/>
      <c r="B929" s="7"/>
      <c r="C929" s="7"/>
      <c r="D929" s="7"/>
      <c r="E929" s="162">
        <v>13.0</v>
      </c>
      <c r="F929" s="120" t="s">
        <v>740</v>
      </c>
      <c r="G929" s="104" t="s">
        <v>334</v>
      </c>
      <c r="H929" s="120" t="s">
        <v>334</v>
      </c>
      <c r="I929" s="104" t="s">
        <v>334</v>
      </c>
      <c r="J929" s="7"/>
      <c r="K929" s="7"/>
      <c r="L929" s="163" t="s">
        <v>739</v>
      </c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</row>
    <row r="1004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</row>
    <row r="100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</row>
    <row r="1006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</row>
    <row r="1007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</row>
    <row r="1008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</row>
    <row r="1009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</row>
    <row r="1010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</row>
    <row r="101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</row>
    <row r="1012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</row>
    <row r="1013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</row>
    <row r="1014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</row>
    <row r="1015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</row>
    <row r="1016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</row>
    <row r="1017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</row>
    <row r="1018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</row>
    <row r="1019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</row>
    <row r="1020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</row>
    <row r="1021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</row>
    <row r="1022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</row>
    <row r="1023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</row>
    <row r="1024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</row>
    <row r="1025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</row>
    <row r="1026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</row>
    <row r="1027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</row>
    <row r="1028">
      <c r="A1028" s="2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</row>
    <row r="1029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</row>
    <row r="1030">
      <c r="A1030" s="2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</row>
    <row r="1031">
      <c r="A1031" s="28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</row>
    <row r="1032">
      <c r="A1032" s="2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</row>
    <row r="1033">
      <c r="A1033" s="2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</row>
    <row r="1034">
      <c r="A1034" s="28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</row>
    <row r="1035">
      <c r="A1035" s="2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</row>
    <row r="1036">
      <c r="A1036" s="28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</row>
    <row r="1037">
      <c r="A1037" s="28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</row>
    <row r="1038">
      <c r="A1038" s="28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</row>
    <row r="1039">
      <c r="A1039" s="2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</row>
    <row r="1040">
      <c r="A1040" s="28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</row>
    <row r="1041">
      <c r="A1041" s="28"/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</row>
    <row r="1042">
      <c r="A1042" s="28"/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</row>
    <row r="1043">
      <c r="A1043" s="28"/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</row>
    <row r="1044">
      <c r="A1044" s="28"/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</row>
    <row r="1045">
      <c r="A1045" s="28"/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</row>
    <row r="1046">
      <c r="A1046" s="28"/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</row>
    <row r="1047">
      <c r="A1047" s="28"/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</row>
    <row r="1048">
      <c r="A1048" s="28"/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</row>
    <row r="1049">
      <c r="A1049" s="28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</row>
    <row r="1050">
      <c r="A1050" s="28"/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</row>
    <row r="1051">
      <c r="A1051" s="28"/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</row>
    <row r="1052">
      <c r="A1052" s="28"/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</row>
    <row r="1053">
      <c r="A1053" s="28"/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</row>
    <row r="1054">
      <c r="A1054" s="28"/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</row>
    <row r="1055">
      <c r="A1055" s="28"/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</row>
    <row r="1056">
      <c r="A1056" s="28"/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</row>
    <row r="1057">
      <c r="A1057" s="28"/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</row>
    <row r="1058">
      <c r="A1058" s="28"/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</row>
    <row r="1059">
      <c r="A1059" s="28"/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</row>
    <row r="1060">
      <c r="A1060" s="28"/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</row>
    <row r="1061">
      <c r="A1061" s="28"/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</row>
    <row r="1062">
      <c r="A1062" s="28"/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</row>
    <row r="1063">
      <c r="A1063" s="28"/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</row>
    <row r="1064">
      <c r="A1064" s="28"/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</row>
    <row r="1065">
      <c r="A1065" s="28"/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</row>
    <row r="1066">
      <c r="A1066" s="28"/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</row>
    <row r="1067">
      <c r="A1067" s="28"/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</row>
    <row r="1068">
      <c r="A1068" s="28"/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</row>
    <row r="1069">
      <c r="A1069" s="28"/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</row>
    <row r="1070">
      <c r="A1070" s="28"/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</row>
    <row r="1071">
      <c r="A1071" s="28"/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</row>
    <row r="1072">
      <c r="A1072" s="28"/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</row>
    <row r="1073">
      <c r="A1073" s="28"/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</row>
    <row r="1074">
      <c r="A1074" s="28"/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</row>
    <row r="1075">
      <c r="A1075" s="28"/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</row>
    <row r="1076">
      <c r="A1076" s="28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</row>
    <row r="1077">
      <c r="A1077" s="28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</row>
    <row r="1078">
      <c r="A1078" s="28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</row>
    <row r="1079">
      <c r="A1079" s="28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</row>
    <row r="1080">
      <c r="A1080" s="28"/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</row>
    <row r="1081">
      <c r="A1081" s="28"/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</row>
    <row r="1082">
      <c r="A1082" s="28"/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</row>
    <row r="1083">
      <c r="A1083" s="28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</row>
    <row r="1084">
      <c r="A1084" s="28"/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</row>
    <row r="1085">
      <c r="A1085" s="28"/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</row>
    <row r="1086">
      <c r="A1086" s="28"/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</row>
    <row r="1087">
      <c r="A1087" s="28"/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</row>
    <row r="1088">
      <c r="A1088" s="28"/>
      <c r="B1088" s="28"/>
      <c r="C1088" s="28"/>
      <c r="D1088" s="28"/>
      <c r="E1088" s="28"/>
      <c r="F1088" s="28"/>
      <c r="G1088" s="28"/>
      <c r="H1088" s="28"/>
      <c r="I1088" s="28"/>
      <c r="J1088" s="28"/>
      <c r="K1088" s="28"/>
    </row>
    <row r="1089">
      <c r="A1089" s="28"/>
      <c r="B1089" s="28"/>
      <c r="C1089" s="28"/>
      <c r="D1089" s="28"/>
      <c r="E1089" s="28"/>
      <c r="F1089" s="28"/>
      <c r="G1089" s="28"/>
      <c r="H1089" s="28"/>
      <c r="I1089" s="28"/>
      <c r="J1089" s="28"/>
      <c r="K1089" s="28"/>
    </row>
    <row r="1090">
      <c r="A1090" s="28"/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</row>
    <row r="1091">
      <c r="A1091" s="28"/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</row>
    <row r="1092">
      <c r="A1092" s="28"/>
      <c r="B1092" s="28"/>
      <c r="C1092" s="28"/>
      <c r="D1092" s="28"/>
      <c r="E1092" s="28"/>
      <c r="F1092" s="28"/>
      <c r="G1092" s="28"/>
      <c r="H1092" s="28"/>
      <c r="I1092" s="28"/>
      <c r="J1092" s="28"/>
      <c r="K1092" s="28"/>
    </row>
    <row r="1093">
      <c r="A1093" s="28"/>
      <c r="B1093" s="28"/>
      <c r="C1093" s="28"/>
      <c r="D1093" s="28"/>
      <c r="E1093" s="28"/>
      <c r="F1093" s="28"/>
      <c r="G1093" s="28"/>
      <c r="H1093" s="28"/>
      <c r="I1093" s="28"/>
      <c r="J1093" s="28"/>
      <c r="K1093" s="28"/>
    </row>
    <row r="1094">
      <c r="A1094" s="28"/>
      <c r="B1094" s="28"/>
      <c r="C1094" s="28"/>
      <c r="D1094" s="28"/>
      <c r="E1094" s="28"/>
      <c r="F1094" s="28"/>
      <c r="G1094" s="28"/>
      <c r="H1094" s="28"/>
      <c r="I1094" s="28"/>
      <c r="J1094" s="28"/>
      <c r="K1094" s="28"/>
    </row>
    <row r="1095">
      <c r="A1095" s="28"/>
      <c r="B1095" s="28"/>
      <c r="C1095" s="28"/>
      <c r="D1095" s="28"/>
      <c r="E1095" s="28"/>
      <c r="F1095" s="28"/>
      <c r="G1095" s="28"/>
      <c r="H1095" s="28"/>
      <c r="I1095" s="28"/>
      <c r="J1095" s="28"/>
      <c r="K1095" s="28"/>
    </row>
    <row r="1096">
      <c r="A1096" s="28"/>
      <c r="B1096" s="28"/>
      <c r="C1096" s="28"/>
      <c r="D1096" s="28"/>
      <c r="E1096" s="28"/>
      <c r="F1096" s="28"/>
      <c r="G1096" s="28"/>
      <c r="H1096" s="28"/>
      <c r="I1096" s="28"/>
      <c r="J1096" s="28"/>
      <c r="K1096" s="28"/>
    </row>
    <row r="1097">
      <c r="A1097" s="28"/>
      <c r="B1097" s="28"/>
      <c r="C1097" s="28"/>
      <c r="D1097" s="28"/>
      <c r="E1097" s="28"/>
      <c r="F1097" s="28"/>
      <c r="G1097" s="28"/>
      <c r="H1097" s="28"/>
      <c r="I1097" s="28"/>
      <c r="J1097" s="28"/>
      <c r="K1097" s="28"/>
    </row>
    <row r="1098">
      <c r="A1098" s="28"/>
      <c r="B1098" s="28"/>
      <c r="C1098" s="28"/>
      <c r="D1098" s="28"/>
      <c r="E1098" s="28"/>
      <c r="F1098" s="28"/>
      <c r="G1098" s="28"/>
      <c r="H1098" s="28"/>
      <c r="I1098" s="28"/>
      <c r="J1098" s="28"/>
      <c r="K1098" s="28"/>
    </row>
    <row r="1099">
      <c r="A1099" s="28"/>
      <c r="B1099" s="28"/>
      <c r="C1099" s="28"/>
      <c r="D1099" s="28"/>
      <c r="E1099" s="28"/>
      <c r="F1099" s="28"/>
      <c r="G1099" s="28"/>
      <c r="H1099" s="28"/>
      <c r="I1099" s="28"/>
      <c r="J1099" s="28"/>
      <c r="K1099" s="28"/>
    </row>
    <row r="1100">
      <c r="A1100" s="28"/>
      <c r="B1100" s="28"/>
      <c r="C1100" s="28"/>
      <c r="D1100" s="28"/>
      <c r="E1100" s="28"/>
      <c r="F1100" s="28"/>
      <c r="G1100" s="28"/>
      <c r="H1100" s="28"/>
      <c r="I1100" s="28"/>
      <c r="J1100" s="28"/>
      <c r="K1100" s="28"/>
    </row>
    <row r="1101">
      <c r="A1101" s="28"/>
      <c r="B1101" s="28"/>
      <c r="C1101" s="28"/>
      <c r="D1101" s="28"/>
      <c r="E1101" s="28"/>
      <c r="F1101" s="28"/>
      <c r="G1101" s="28"/>
      <c r="H1101" s="28"/>
      <c r="I1101" s="28"/>
      <c r="J1101" s="28"/>
      <c r="K1101" s="28"/>
    </row>
    <row r="1102">
      <c r="A1102" s="28"/>
      <c r="B1102" s="28"/>
      <c r="C1102" s="28"/>
      <c r="D1102" s="28"/>
      <c r="E1102" s="28"/>
      <c r="F1102" s="28"/>
      <c r="G1102" s="28"/>
      <c r="H1102" s="28"/>
      <c r="I1102" s="28"/>
      <c r="J1102" s="28"/>
      <c r="K1102" s="28"/>
    </row>
    <row r="1103">
      <c r="A1103" s="28"/>
      <c r="B1103" s="28"/>
      <c r="C1103" s="28"/>
      <c r="D1103" s="28"/>
      <c r="E1103" s="28"/>
      <c r="F1103" s="28"/>
      <c r="G1103" s="28"/>
      <c r="H1103" s="28"/>
      <c r="I1103" s="28"/>
      <c r="J1103" s="28"/>
      <c r="K1103" s="28"/>
    </row>
    <row r="1104">
      <c r="A1104" s="28"/>
      <c r="B1104" s="28"/>
      <c r="C1104" s="28"/>
      <c r="D1104" s="28"/>
      <c r="E1104" s="28"/>
      <c r="F1104" s="28"/>
      <c r="G1104" s="28"/>
      <c r="H1104" s="28"/>
      <c r="I1104" s="28"/>
      <c r="J1104" s="28"/>
      <c r="K1104" s="28"/>
    </row>
    <row r="1105">
      <c r="A1105" s="28"/>
      <c r="B1105" s="28"/>
      <c r="C1105" s="28"/>
      <c r="D1105" s="28"/>
      <c r="E1105" s="28"/>
      <c r="F1105" s="28"/>
      <c r="G1105" s="28"/>
      <c r="H1105" s="28"/>
      <c r="I1105" s="28"/>
      <c r="J1105" s="28"/>
      <c r="K1105" s="28"/>
    </row>
    <row r="1106">
      <c r="A1106" s="28"/>
      <c r="B1106" s="28"/>
      <c r="C1106" s="28"/>
      <c r="D1106" s="28"/>
      <c r="E1106" s="28"/>
      <c r="F1106" s="28"/>
      <c r="G1106" s="28"/>
      <c r="H1106" s="28"/>
      <c r="I1106" s="28"/>
      <c r="J1106" s="28"/>
      <c r="K1106" s="28"/>
    </row>
    <row r="1107">
      <c r="A1107" s="28"/>
      <c r="B1107" s="28"/>
      <c r="C1107" s="28"/>
      <c r="D1107" s="28"/>
      <c r="E1107" s="28"/>
      <c r="F1107" s="28"/>
      <c r="G1107" s="28"/>
      <c r="H1107" s="28"/>
      <c r="I1107" s="28"/>
      <c r="J1107" s="28"/>
      <c r="K1107" s="28"/>
    </row>
    <row r="1108">
      <c r="A1108" s="28"/>
      <c r="B1108" s="28"/>
      <c r="C1108" s="28"/>
      <c r="D1108" s="28"/>
      <c r="E1108" s="28"/>
      <c r="F1108" s="28"/>
      <c r="G1108" s="28"/>
      <c r="H1108" s="28"/>
      <c r="I1108" s="28"/>
      <c r="J1108" s="28"/>
      <c r="K1108" s="28"/>
    </row>
    <row r="1109">
      <c r="A1109" s="28"/>
      <c r="B1109" s="28"/>
      <c r="C1109" s="28"/>
      <c r="D1109" s="28"/>
      <c r="E1109" s="28"/>
      <c r="F1109" s="28"/>
      <c r="G1109" s="28"/>
      <c r="H1109" s="28"/>
      <c r="I1109" s="28"/>
      <c r="J1109" s="28"/>
      <c r="K1109" s="28"/>
    </row>
    <row r="1110">
      <c r="A1110" s="28"/>
      <c r="B1110" s="28"/>
      <c r="C1110" s="28"/>
      <c r="D1110" s="28"/>
      <c r="E1110" s="28"/>
      <c r="F1110" s="28"/>
      <c r="G1110" s="28"/>
      <c r="H1110" s="28"/>
      <c r="I1110" s="28"/>
      <c r="J1110" s="28"/>
      <c r="K1110" s="28"/>
    </row>
    <row r="1111">
      <c r="A1111" s="28"/>
      <c r="B1111" s="28"/>
      <c r="C1111" s="28"/>
      <c r="D1111" s="28"/>
      <c r="E1111" s="28"/>
      <c r="F1111" s="28"/>
      <c r="G1111" s="28"/>
      <c r="H1111" s="28"/>
      <c r="I1111" s="28"/>
      <c r="J1111" s="28"/>
      <c r="K1111" s="28"/>
    </row>
    <row r="1112">
      <c r="A1112" s="28"/>
      <c r="B1112" s="28"/>
      <c r="C1112" s="28"/>
      <c r="D1112" s="28"/>
      <c r="E1112" s="28"/>
      <c r="F1112" s="28"/>
      <c r="G1112" s="28"/>
      <c r="H1112" s="28"/>
      <c r="I1112" s="28"/>
      <c r="J1112" s="28"/>
      <c r="K1112" s="28"/>
    </row>
    <row r="1113">
      <c r="A1113" s="28"/>
      <c r="B1113" s="28"/>
      <c r="C1113" s="28"/>
      <c r="D1113" s="28"/>
      <c r="E1113" s="28"/>
      <c r="F1113" s="28"/>
      <c r="G1113" s="28"/>
      <c r="H1113" s="28"/>
      <c r="I1113" s="28"/>
      <c r="J1113" s="28"/>
      <c r="K1113" s="28"/>
    </row>
    <row r="1114">
      <c r="A1114" s="28"/>
      <c r="B1114" s="28"/>
      <c r="C1114" s="28"/>
      <c r="D1114" s="28"/>
      <c r="E1114" s="28"/>
      <c r="F1114" s="28"/>
      <c r="G1114" s="28"/>
      <c r="H1114" s="28"/>
      <c r="I1114" s="28"/>
      <c r="J1114" s="28"/>
      <c r="K1114" s="28"/>
    </row>
    <row r="1115">
      <c r="A1115" s="28"/>
      <c r="B1115" s="28"/>
      <c r="C1115" s="28"/>
      <c r="D1115" s="28"/>
      <c r="E1115" s="28"/>
      <c r="F1115" s="28"/>
      <c r="G1115" s="28"/>
      <c r="H1115" s="28"/>
      <c r="I1115" s="28"/>
      <c r="J1115" s="28"/>
      <c r="K1115" s="28"/>
    </row>
    <row r="1116">
      <c r="A1116" s="28"/>
      <c r="B1116" s="28"/>
      <c r="C1116" s="28"/>
      <c r="D1116" s="28"/>
      <c r="E1116" s="28"/>
      <c r="F1116" s="28"/>
      <c r="G1116" s="28"/>
      <c r="H1116" s="28"/>
      <c r="I1116" s="28"/>
      <c r="J1116" s="28"/>
      <c r="K1116" s="28"/>
    </row>
    <row r="1117">
      <c r="A1117" s="28"/>
      <c r="B1117" s="28"/>
      <c r="C1117" s="28"/>
      <c r="D1117" s="28"/>
      <c r="E1117" s="28"/>
      <c r="F1117" s="28"/>
      <c r="G1117" s="28"/>
      <c r="H1117" s="28"/>
      <c r="I1117" s="28"/>
      <c r="J1117" s="28"/>
      <c r="K1117" s="28"/>
    </row>
    <row r="1118">
      <c r="A1118" s="28"/>
      <c r="B1118" s="28"/>
      <c r="C1118" s="28"/>
      <c r="D1118" s="28"/>
      <c r="E1118" s="28"/>
      <c r="F1118" s="28"/>
      <c r="G1118" s="28"/>
      <c r="H1118" s="28"/>
      <c r="I1118" s="28"/>
      <c r="J1118" s="28"/>
      <c r="K1118" s="28"/>
    </row>
    <row r="1119">
      <c r="A1119" s="28"/>
      <c r="B1119" s="28"/>
      <c r="C1119" s="28"/>
      <c r="D1119" s="28"/>
      <c r="E1119" s="28"/>
      <c r="F1119" s="28"/>
      <c r="G1119" s="28"/>
      <c r="H1119" s="28"/>
      <c r="I1119" s="28"/>
      <c r="J1119" s="28"/>
      <c r="K1119" s="28"/>
    </row>
    <row r="1120">
      <c r="A1120" s="28"/>
      <c r="B1120" s="28"/>
      <c r="C1120" s="28"/>
      <c r="D1120" s="28"/>
      <c r="E1120" s="28"/>
      <c r="F1120" s="28"/>
      <c r="G1120" s="28"/>
      <c r="H1120" s="28"/>
      <c r="I1120" s="28"/>
      <c r="J1120" s="28"/>
      <c r="K1120" s="28"/>
    </row>
    <row r="1121">
      <c r="A1121" s="28"/>
      <c r="B1121" s="28"/>
      <c r="C1121" s="28"/>
      <c r="D1121" s="28"/>
      <c r="E1121" s="28"/>
      <c r="F1121" s="28"/>
      <c r="G1121" s="28"/>
      <c r="H1121" s="28"/>
      <c r="I1121" s="28"/>
      <c r="J1121" s="28"/>
      <c r="K1121" s="28"/>
    </row>
    <row r="1122">
      <c r="A1122" s="28"/>
      <c r="B1122" s="28"/>
      <c r="C1122" s="28"/>
      <c r="D1122" s="28"/>
      <c r="E1122" s="28"/>
      <c r="F1122" s="28"/>
      <c r="G1122" s="28"/>
      <c r="H1122" s="28"/>
      <c r="I1122" s="28"/>
      <c r="J1122" s="28"/>
      <c r="K1122" s="28"/>
    </row>
    <row r="1123">
      <c r="A1123" s="28"/>
      <c r="B1123" s="28"/>
      <c r="C1123" s="28"/>
      <c r="D1123" s="28"/>
      <c r="E1123" s="28"/>
      <c r="F1123" s="28"/>
      <c r="G1123" s="28"/>
      <c r="H1123" s="28"/>
      <c r="I1123" s="28"/>
      <c r="J1123" s="28"/>
      <c r="K1123" s="28"/>
    </row>
    <row r="1124">
      <c r="A1124" s="28"/>
      <c r="B1124" s="28"/>
      <c r="C1124" s="28"/>
      <c r="D1124" s="28"/>
      <c r="E1124" s="28"/>
      <c r="F1124" s="28"/>
      <c r="G1124" s="28"/>
      <c r="H1124" s="28"/>
      <c r="I1124" s="28"/>
      <c r="J1124" s="28"/>
      <c r="K1124" s="28"/>
    </row>
    <row r="1125">
      <c r="A1125" s="28"/>
      <c r="B1125" s="28"/>
      <c r="C1125" s="28"/>
      <c r="D1125" s="28"/>
      <c r="E1125" s="28"/>
      <c r="F1125" s="28"/>
      <c r="G1125" s="28"/>
      <c r="H1125" s="28"/>
      <c r="I1125" s="28"/>
      <c r="J1125" s="28"/>
      <c r="K1125" s="28"/>
    </row>
    <row r="1126">
      <c r="A1126" s="28"/>
      <c r="B1126" s="28"/>
      <c r="C1126" s="28"/>
      <c r="D1126" s="28"/>
      <c r="E1126" s="28"/>
      <c r="F1126" s="28"/>
      <c r="G1126" s="28"/>
      <c r="H1126" s="28"/>
      <c r="I1126" s="28"/>
      <c r="J1126" s="28"/>
      <c r="K1126" s="28"/>
    </row>
    <row r="1127">
      <c r="A1127" s="28"/>
      <c r="B1127" s="28"/>
      <c r="C1127" s="28"/>
      <c r="D1127" s="28"/>
      <c r="E1127" s="28"/>
      <c r="F1127" s="28"/>
      <c r="G1127" s="28"/>
      <c r="H1127" s="28"/>
      <c r="I1127" s="28"/>
      <c r="J1127" s="28"/>
      <c r="K1127" s="28"/>
    </row>
    <row r="1128">
      <c r="A1128" s="28"/>
      <c r="B1128" s="28"/>
      <c r="C1128" s="28"/>
      <c r="D1128" s="28"/>
      <c r="E1128" s="28"/>
      <c r="F1128" s="28"/>
      <c r="G1128" s="28"/>
      <c r="H1128" s="28"/>
      <c r="I1128" s="28"/>
      <c r="J1128" s="28"/>
      <c r="K1128" s="28"/>
    </row>
    <row r="1129">
      <c r="A1129" s="28"/>
      <c r="B1129" s="28"/>
      <c r="C1129" s="28"/>
      <c r="D1129" s="28"/>
      <c r="E1129" s="28"/>
      <c r="F1129" s="28"/>
      <c r="G1129" s="28"/>
      <c r="H1129" s="28"/>
      <c r="I1129" s="28"/>
      <c r="J1129" s="28"/>
      <c r="K1129" s="28"/>
    </row>
    <row r="1130">
      <c r="A1130" s="28"/>
      <c r="B1130" s="28"/>
      <c r="C1130" s="28"/>
      <c r="D1130" s="28"/>
      <c r="E1130" s="28"/>
      <c r="F1130" s="28"/>
      <c r="G1130" s="28"/>
      <c r="H1130" s="28"/>
      <c r="I1130" s="28"/>
      <c r="J1130" s="28"/>
      <c r="K1130" s="28"/>
    </row>
    <row r="1131">
      <c r="A1131" s="28"/>
      <c r="B1131" s="28"/>
      <c r="C1131" s="28"/>
      <c r="D1131" s="28"/>
      <c r="E1131" s="28"/>
      <c r="F1131" s="28"/>
      <c r="G1131" s="28"/>
      <c r="H1131" s="28"/>
      <c r="I1131" s="28"/>
      <c r="J1131" s="28"/>
      <c r="K1131" s="28"/>
    </row>
    <row r="1132">
      <c r="A1132" s="28"/>
      <c r="B1132" s="28"/>
      <c r="C1132" s="28"/>
      <c r="D1132" s="28"/>
      <c r="E1132" s="28"/>
      <c r="F1132" s="28"/>
      <c r="G1132" s="28"/>
      <c r="H1132" s="28"/>
      <c r="I1132" s="28"/>
      <c r="J1132" s="28"/>
      <c r="K1132" s="28"/>
    </row>
    <row r="1133">
      <c r="A1133" s="28"/>
      <c r="B1133" s="28"/>
      <c r="C1133" s="28"/>
      <c r="D1133" s="28"/>
      <c r="E1133" s="28"/>
      <c r="F1133" s="28"/>
      <c r="G1133" s="28"/>
      <c r="H1133" s="28"/>
      <c r="I1133" s="28"/>
      <c r="J1133" s="28"/>
      <c r="K1133" s="28"/>
    </row>
    <row r="1134">
      <c r="A1134" s="28"/>
      <c r="B1134" s="28"/>
      <c r="C1134" s="28"/>
      <c r="D1134" s="28"/>
      <c r="E1134" s="28"/>
      <c r="F1134" s="28"/>
      <c r="G1134" s="28"/>
      <c r="H1134" s="28"/>
      <c r="I1134" s="28"/>
      <c r="J1134" s="28"/>
      <c r="K1134" s="28"/>
    </row>
    <row r="1135">
      <c r="A1135" s="28"/>
      <c r="B1135" s="28"/>
      <c r="C1135" s="28"/>
      <c r="D1135" s="28"/>
      <c r="E1135" s="28"/>
      <c r="F1135" s="28"/>
      <c r="G1135" s="28"/>
      <c r="H1135" s="28"/>
      <c r="I1135" s="28"/>
      <c r="J1135" s="28"/>
      <c r="K1135" s="28"/>
    </row>
    <row r="1136">
      <c r="A1136" s="28"/>
      <c r="B1136" s="28"/>
      <c r="C1136" s="28"/>
      <c r="D1136" s="28"/>
      <c r="E1136" s="28"/>
      <c r="F1136" s="28"/>
      <c r="G1136" s="28"/>
      <c r="H1136" s="28"/>
      <c r="I1136" s="28"/>
      <c r="J1136" s="28"/>
      <c r="K1136" s="28"/>
    </row>
    <row r="1137">
      <c r="A1137" s="28"/>
      <c r="B1137" s="28"/>
      <c r="C1137" s="28"/>
      <c r="D1137" s="28"/>
      <c r="E1137" s="28"/>
      <c r="F1137" s="28"/>
      <c r="G1137" s="28"/>
      <c r="H1137" s="28"/>
      <c r="I1137" s="28"/>
      <c r="J1137" s="28"/>
      <c r="K1137" s="28"/>
    </row>
    <row r="1138">
      <c r="A1138" s="28"/>
      <c r="B1138" s="28"/>
      <c r="C1138" s="28"/>
      <c r="D1138" s="28"/>
      <c r="E1138" s="28"/>
      <c r="F1138" s="28"/>
      <c r="G1138" s="28"/>
      <c r="H1138" s="28"/>
      <c r="I1138" s="28"/>
      <c r="J1138" s="28"/>
      <c r="K1138" s="28"/>
    </row>
    <row r="1139">
      <c r="A1139" s="28"/>
      <c r="B1139" s="28"/>
      <c r="C1139" s="28"/>
      <c r="D1139" s="28"/>
      <c r="E1139" s="28"/>
      <c r="F1139" s="28"/>
      <c r="G1139" s="28"/>
      <c r="H1139" s="28"/>
      <c r="I1139" s="28"/>
      <c r="J1139" s="28"/>
      <c r="K1139" s="28"/>
    </row>
    <row r="1140">
      <c r="A1140" s="28"/>
      <c r="B1140" s="28"/>
      <c r="C1140" s="28"/>
      <c r="D1140" s="28"/>
      <c r="E1140" s="28"/>
      <c r="F1140" s="28"/>
      <c r="G1140" s="28"/>
      <c r="H1140" s="28"/>
      <c r="I1140" s="28"/>
      <c r="J1140" s="28"/>
      <c r="K1140" s="28"/>
    </row>
    <row r="1141">
      <c r="A1141" s="28"/>
      <c r="B1141" s="28"/>
      <c r="C1141" s="28"/>
      <c r="D1141" s="28"/>
      <c r="E1141" s="28"/>
      <c r="F1141" s="28"/>
      <c r="G1141" s="28"/>
      <c r="H1141" s="28"/>
      <c r="I1141" s="28"/>
      <c r="J1141" s="28"/>
      <c r="K1141" s="28"/>
    </row>
    <row r="1142">
      <c r="A1142" s="28"/>
      <c r="B1142" s="28"/>
      <c r="C1142" s="28"/>
      <c r="D1142" s="28"/>
      <c r="E1142" s="28"/>
      <c r="F1142" s="28"/>
      <c r="G1142" s="28"/>
      <c r="H1142" s="28"/>
      <c r="I1142" s="28"/>
      <c r="J1142" s="28"/>
      <c r="K1142" s="28"/>
    </row>
    <row r="1143">
      <c r="A1143" s="28"/>
      <c r="B1143" s="28"/>
      <c r="C1143" s="28"/>
      <c r="D1143" s="28"/>
      <c r="E1143" s="28"/>
      <c r="F1143" s="28"/>
      <c r="G1143" s="28"/>
      <c r="H1143" s="28"/>
      <c r="I1143" s="28"/>
      <c r="J1143" s="28"/>
      <c r="K1143" s="28"/>
    </row>
    <row r="1144">
      <c r="A1144" s="28"/>
      <c r="B1144" s="28"/>
      <c r="C1144" s="28"/>
      <c r="D1144" s="28"/>
      <c r="E1144" s="28"/>
      <c r="F1144" s="28"/>
      <c r="G1144" s="28"/>
      <c r="H1144" s="28"/>
      <c r="I1144" s="28"/>
      <c r="J1144" s="28"/>
      <c r="K1144" s="28"/>
    </row>
    <row r="1145">
      <c r="A1145" s="28"/>
      <c r="B1145" s="28"/>
      <c r="C1145" s="28"/>
      <c r="D1145" s="28"/>
      <c r="E1145" s="28"/>
      <c r="F1145" s="28"/>
      <c r="G1145" s="28"/>
      <c r="H1145" s="28"/>
      <c r="I1145" s="28"/>
      <c r="J1145" s="28"/>
      <c r="K1145" s="28"/>
    </row>
    <row r="1146">
      <c r="A1146" s="28"/>
      <c r="B1146" s="28"/>
      <c r="C1146" s="28"/>
      <c r="D1146" s="28"/>
      <c r="E1146" s="28"/>
      <c r="F1146" s="28"/>
      <c r="G1146" s="28"/>
      <c r="H1146" s="28"/>
      <c r="I1146" s="28"/>
      <c r="J1146" s="28"/>
      <c r="K1146" s="28"/>
    </row>
    <row r="1147">
      <c r="A1147" s="28"/>
      <c r="B1147" s="28"/>
      <c r="C1147" s="28"/>
      <c r="D1147" s="28"/>
      <c r="E1147" s="28"/>
      <c r="F1147" s="28"/>
      <c r="G1147" s="28"/>
      <c r="H1147" s="28"/>
      <c r="I1147" s="28"/>
      <c r="J1147" s="28"/>
      <c r="K1147" s="28"/>
    </row>
    <row r="1148">
      <c r="A1148" s="28"/>
      <c r="B1148" s="28"/>
      <c r="C1148" s="28"/>
      <c r="D1148" s="28"/>
      <c r="E1148" s="28"/>
      <c r="F1148" s="28"/>
      <c r="G1148" s="28"/>
      <c r="H1148" s="28"/>
      <c r="I1148" s="28"/>
      <c r="J1148" s="28"/>
      <c r="K1148" s="28"/>
    </row>
    <row r="1149">
      <c r="A1149" s="28"/>
      <c r="B1149" s="28"/>
      <c r="C1149" s="28"/>
      <c r="D1149" s="28"/>
      <c r="E1149" s="28"/>
      <c r="F1149" s="28"/>
      <c r="G1149" s="28"/>
      <c r="H1149" s="28"/>
      <c r="I1149" s="28"/>
      <c r="J1149" s="28"/>
      <c r="K1149" s="28"/>
    </row>
    <row r="1150">
      <c r="A1150" s="28"/>
      <c r="B1150" s="28"/>
      <c r="C1150" s="28"/>
      <c r="D1150" s="28"/>
      <c r="E1150" s="28"/>
      <c r="F1150" s="28"/>
      <c r="G1150" s="28"/>
      <c r="H1150" s="28"/>
      <c r="I1150" s="28"/>
      <c r="J1150" s="28"/>
      <c r="K1150" s="28"/>
    </row>
    <row r="1151">
      <c r="A1151" s="28"/>
      <c r="B1151" s="28"/>
      <c r="C1151" s="28"/>
      <c r="D1151" s="28"/>
      <c r="E1151" s="28"/>
      <c r="F1151" s="28"/>
      <c r="G1151" s="28"/>
      <c r="H1151" s="28"/>
      <c r="I1151" s="28"/>
      <c r="J1151" s="28"/>
      <c r="K1151" s="28"/>
    </row>
    <row r="1152">
      <c r="A1152" s="28"/>
      <c r="B1152" s="28"/>
      <c r="C1152" s="28"/>
      <c r="D1152" s="28"/>
      <c r="E1152" s="28"/>
      <c r="F1152" s="28"/>
      <c r="G1152" s="28"/>
      <c r="H1152" s="28"/>
      <c r="I1152" s="28"/>
      <c r="J1152" s="28"/>
      <c r="K1152" s="28"/>
    </row>
    <row r="1153">
      <c r="A1153" s="28"/>
      <c r="B1153" s="28"/>
      <c r="C1153" s="28"/>
      <c r="D1153" s="28"/>
      <c r="E1153" s="28"/>
      <c r="F1153" s="28"/>
      <c r="G1153" s="28"/>
      <c r="H1153" s="28"/>
      <c r="I1153" s="28"/>
      <c r="J1153" s="28"/>
      <c r="K1153" s="28"/>
    </row>
    <row r="1154">
      <c r="A1154" s="28"/>
      <c r="B1154" s="28"/>
      <c r="C1154" s="28"/>
      <c r="D1154" s="28"/>
      <c r="E1154" s="28"/>
      <c r="F1154" s="28"/>
      <c r="G1154" s="28"/>
      <c r="H1154" s="28"/>
      <c r="I1154" s="28"/>
      <c r="J1154" s="28"/>
      <c r="K1154" s="28"/>
    </row>
    <row r="1155">
      <c r="A1155" s="28"/>
      <c r="B1155" s="28"/>
      <c r="C1155" s="28"/>
      <c r="D1155" s="28"/>
      <c r="E1155" s="28"/>
      <c r="F1155" s="28"/>
      <c r="G1155" s="28"/>
      <c r="H1155" s="28"/>
      <c r="I1155" s="28"/>
      <c r="J1155" s="28"/>
      <c r="K1155" s="28"/>
    </row>
    <row r="1156">
      <c r="A1156" s="28"/>
      <c r="B1156" s="28"/>
      <c r="C1156" s="28"/>
      <c r="D1156" s="28"/>
      <c r="E1156" s="28"/>
      <c r="F1156" s="28"/>
      <c r="G1156" s="28"/>
      <c r="H1156" s="28"/>
      <c r="I1156" s="28"/>
      <c r="J1156" s="28"/>
      <c r="K1156" s="28"/>
    </row>
    <row r="1157">
      <c r="A1157" s="28"/>
      <c r="B1157" s="28"/>
      <c r="C1157" s="28"/>
      <c r="D1157" s="28"/>
      <c r="E1157" s="28"/>
      <c r="F1157" s="28"/>
      <c r="G1157" s="28"/>
      <c r="H1157" s="28"/>
      <c r="I1157" s="28"/>
      <c r="J1157" s="28"/>
      <c r="K1157" s="28"/>
    </row>
    <row r="1158">
      <c r="A1158" s="28"/>
      <c r="B1158" s="28"/>
      <c r="C1158" s="28"/>
      <c r="D1158" s="28"/>
      <c r="E1158" s="28"/>
      <c r="F1158" s="28"/>
      <c r="G1158" s="28"/>
      <c r="H1158" s="28"/>
      <c r="I1158" s="28"/>
      <c r="J1158" s="28"/>
      <c r="K1158" s="28"/>
    </row>
    <row r="1159">
      <c r="A1159" s="28"/>
      <c r="B1159" s="28"/>
      <c r="C1159" s="28"/>
      <c r="D1159" s="28"/>
      <c r="E1159" s="28"/>
      <c r="F1159" s="28"/>
      <c r="G1159" s="28"/>
      <c r="H1159" s="28"/>
      <c r="I1159" s="28"/>
      <c r="J1159" s="28"/>
      <c r="K1159" s="28"/>
    </row>
    <row r="1160">
      <c r="A1160" s="28"/>
      <c r="B1160" s="28"/>
      <c r="C1160" s="28"/>
      <c r="D1160" s="28"/>
      <c r="E1160" s="28"/>
      <c r="F1160" s="28"/>
      <c r="G1160" s="28"/>
      <c r="H1160" s="28"/>
      <c r="I1160" s="28"/>
      <c r="J1160" s="28"/>
      <c r="K1160" s="28"/>
    </row>
    <row r="1161">
      <c r="A1161" s="28"/>
      <c r="B1161" s="28"/>
      <c r="C1161" s="28"/>
      <c r="D1161" s="28"/>
      <c r="E1161" s="28"/>
      <c r="F1161" s="28"/>
      <c r="G1161" s="28"/>
      <c r="H1161" s="28"/>
      <c r="I1161" s="28"/>
      <c r="J1161" s="28"/>
      <c r="K1161" s="28"/>
    </row>
    <row r="1162">
      <c r="A1162" s="28"/>
      <c r="B1162" s="28"/>
      <c r="C1162" s="28"/>
      <c r="D1162" s="28"/>
      <c r="E1162" s="28"/>
      <c r="F1162" s="28"/>
      <c r="G1162" s="28"/>
      <c r="H1162" s="28"/>
      <c r="I1162" s="28"/>
      <c r="J1162" s="28"/>
      <c r="K1162" s="28"/>
    </row>
    <row r="1163">
      <c r="A1163" s="28"/>
      <c r="B1163" s="28"/>
      <c r="C1163" s="28"/>
      <c r="D1163" s="28"/>
      <c r="E1163" s="28"/>
      <c r="F1163" s="28"/>
      <c r="G1163" s="28"/>
      <c r="H1163" s="28"/>
      <c r="I1163" s="28"/>
      <c r="J1163" s="28"/>
      <c r="K1163" s="28"/>
    </row>
    <row r="1164">
      <c r="A1164" s="28"/>
      <c r="B1164" s="28"/>
      <c r="C1164" s="28"/>
      <c r="D1164" s="28"/>
      <c r="E1164" s="28"/>
      <c r="F1164" s="28"/>
      <c r="G1164" s="28"/>
      <c r="H1164" s="28"/>
      <c r="I1164" s="28"/>
      <c r="J1164" s="28"/>
      <c r="K1164" s="28"/>
    </row>
    <row r="1165">
      <c r="A1165" s="28"/>
      <c r="B1165" s="28"/>
      <c r="C1165" s="28"/>
      <c r="D1165" s="28"/>
      <c r="E1165" s="28"/>
      <c r="F1165" s="28"/>
      <c r="G1165" s="28"/>
      <c r="H1165" s="28"/>
      <c r="I1165" s="28"/>
      <c r="J1165" s="28"/>
      <c r="K1165" s="28"/>
    </row>
    <row r="1166">
      <c r="A1166" s="28"/>
      <c r="B1166" s="28"/>
      <c r="C1166" s="28"/>
      <c r="D1166" s="28"/>
      <c r="E1166" s="28"/>
      <c r="F1166" s="28"/>
      <c r="G1166" s="28"/>
      <c r="H1166" s="28"/>
      <c r="I1166" s="28"/>
      <c r="J1166" s="28"/>
      <c r="K1166" s="28"/>
    </row>
    <row r="1167">
      <c r="A1167" s="28"/>
      <c r="B1167" s="28"/>
      <c r="C1167" s="28"/>
      <c r="D1167" s="28"/>
      <c r="E1167" s="28"/>
      <c r="F1167" s="28"/>
      <c r="G1167" s="28"/>
      <c r="H1167" s="28"/>
      <c r="I1167" s="28"/>
      <c r="J1167" s="28"/>
      <c r="K1167" s="28"/>
    </row>
    <row r="1168">
      <c r="A1168" s="28"/>
      <c r="B1168" s="28"/>
      <c r="C1168" s="28"/>
      <c r="D1168" s="28"/>
      <c r="E1168" s="28"/>
      <c r="F1168" s="28"/>
      <c r="G1168" s="28"/>
      <c r="H1168" s="28"/>
      <c r="I1168" s="28"/>
      <c r="J1168" s="28"/>
      <c r="K1168" s="28"/>
    </row>
    <row r="1169">
      <c r="A1169" s="28"/>
      <c r="B1169" s="28"/>
      <c r="C1169" s="28"/>
      <c r="D1169" s="28"/>
      <c r="E1169" s="28"/>
      <c r="F1169" s="28"/>
      <c r="G1169" s="28"/>
      <c r="H1169" s="28"/>
      <c r="I1169" s="28"/>
      <c r="J1169" s="28"/>
      <c r="K1169" s="28"/>
    </row>
    <row r="1170">
      <c r="A1170" s="28"/>
      <c r="B1170" s="28"/>
      <c r="C1170" s="28"/>
      <c r="D1170" s="28"/>
      <c r="E1170" s="28"/>
      <c r="F1170" s="28"/>
      <c r="G1170" s="28"/>
      <c r="H1170" s="28"/>
      <c r="I1170" s="28"/>
      <c r="J1170" s="28"/>
      <c r="K1170" s="28"/>
    </row>
    <row r="1171">
      <c r="A1171" s="28"/>
      <c r="B1171" s="28"/>
      <c r="C1171" s="28"/>
      <c r="D1171" s="28"/>
      <c r="E1171" s="28"/>
      <c r="F1171" s="28"/>
      <c r="G1171" s="28"/>
      <c r="H1171" s="28"/>
      <c r="I1171" s="28"/>
      <c r="J1171" s="28"/>
      <c r="K1171" s="28"/>
    </row>
    <row r="1172">
      <c r="A1172" s="28"/>
      <c r="B1172" s="28"/>
      <c r="C1172" s="28"/>
      <c r="D1172" s="28"/>
      <c r="E1172" s="28"/>
      <c r="F1172" s="28"/>
      <c r="G1172" s="28"/>
      <c r="H1172" s="28"/>
      <c r="I1172" s="28"/>
      <c r="J1172" s="28"/>
      <c r="K1172" s="28"/>
    </row>
    <row r="1173">
      <c r="A1173" s="28"/>
      <c r="B1173" s="28"/>
      <c r="C1173" s="28"/>
      <c r="D1173" s="28"/>
      <c r="E1173" s="28"/>
      <c r="F1173" s="28"/>
      <c r="G1173" s="28"/>
      <c r="H1173" s="28"/>
      <c r="I1173" s="28"/>
      <c r="J1173" s="28"/>
      <c r="K1173" s="28"/>
    </row>
    <row r="1174">
      <c r="A1174" s="28"/>
      <c r="B1174" s="28"/>
      <c r="C1174" s="28"/>
      <c r="D1174" s="28"/>
      <c r="E1174" s="28"/>
      <c r="F1174" s="28"/>
      <c r="G1174" s="28"/>
      <c r="H1174" s="28"/>
      <c r="I1174" s="28"/>
      <c r="J1174" s="28"/>
      <c r="K1174" s="28"/>
    </row>
    <row r="1175">
      <c r="A1175" s="28"/>
      <c r="B1175" s="28"/>
      <c r="C1175" s="28"/>
      <c r="D1175" s="28"/>
      <c r="E1175" s="28"/>
      <c r="F1175" s="28"/>
      <c r="G1175" s="28"/>
      <c r="H1175" s="28"/>
      <c r="I1175" s="28"/>
      <c r="J1175" s="28"/>
      <c r="K1175" s="28"/>
    </row>
    <row r="1176">
      <c r="A1176" s="28"/>
      <c r="B1176" s="28"/>
      <c r="C1176" s="28"/>
      <c r="D1176" s="28"/>
      <c r="E1176" s="28"/>
      <c r="F1176" s="28"/>
      <c r="G1176" s="28"/>
      <c r="H1176" s="28"/>
      <c r="I1176" s="28"/>
      <c r="J1176" s="28"/>
      <c r="K1176" s="28"/>
    </row>
    <row r="1177">
      <c r="A1177" s="28"/>
      <c r="B1177" s="28"/>
      <c r="C1177" s="28"/>
      <c r="D1177" s="28"/>
      <c r="E1177" s="28"/>
      <c r="F1177" s="28"/>
      <c r="G1177" s="28"/>
      <c r="H1177" s="28"/>
      <c r="I1177" s="28"/>
      <c r="J1177" s="28"/>
      <c r="K1177" s="28"/>
    </row>
    <row r="1178">
      <c r="A1178" s="28"/>
      <c r="B1178" s="28"/>
      <c r="C1178" s="28"/>
      <c r="D1178" s="28"/>
      <c r="E1178" s="28"/>
      <c r="F1178" s="28"/>
      <c r="G1178" s="28"/>
      <c r="H1178" s="28"/>
      <c r="I1178" s="28"/>
      <c r="J1178" s="28"/>
      <c r="K1178" s="28"/>
    </row>
    <row r="1179">
      <c r="A1179" s="28"/>
      <c r="B1179" s="28"/>
      <c r="C1179" s="28"/>
      <c r="D1179" s="28"/>
      <c r="E1179" s="28"/>
      <c r="F1179" s="28"/>
      <c r="G1179" s="28"/>
      <c r="H1179" s="28"/>
      <c r="I1179" s="28"/>
      <c r="J1179" s="28"/>
      <c r="K1179" s="28"/>
    </row>
    <row r="1180">
      <c r="A1180" s="28"/>
      <c r="B1180" s="28"/>
      <c r="C1180" s="28"/>
      <c r="D1180" s="28"/>
      <c r="E1180" s="28"/>
      <c r="F1180" s="28"/>
      <c r="G1180" s="28"/>
      <c r="H1180" s="28"/>
      <c r="I1180" s="28"/>
      <c r="J1180" s="28"/>
      <c r="K1180" s="28"/>
    </row>
    <row r="1181">
      <c r="A1181" s="28"/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</row>
    <row r="1182">
      <c r="A1182" s="28"/>
      <c r="B1182" s="28"/>
      <c r="C1182" s="28"/>
      <c r="D1182" s="28"/>
      <c r="E1182" s="28"/>
      <c r="F1182" s="28"/>
      <c r="G1182" s="28"/>
      <c r="H1182" s="28"/>
      <c r="I1182" s="28"/>
      <c r="J1182" s="28"/>
      <c r="K1182" s="28"/>
    </row>
    <row r="1183">
      <c r="A1183" s="28"/>
      <c r="B1183" s="28"/>
      <c r="C1183" s="28"/>
      <c r="D1183" s="28"/>
      <c r="E1183" s="28"/>
      <c r="F1183" s="28"/>
      <c r="G1183" s="28"/>
      <c r="H1183" s="28"/>
      <c r="I1183" s="28"/>
      <c r="J1183" s="28"/>
      <c r="K1183" s="28"/>
    </row>
    <row r="1184">
      <c r="A1184" s="28"/>
      <c r="B1184" s="28"/>
      <c r="C1184" s="28"/>
      <c r="D1184" s="28"/>
      <c r="E1184" s="28"/>
      <c r="F1184" s="28"/>
      <c r="G1184" s="28"/>
      <c r="H1184" s="28"/>
      <c r="I1184" s="28"/>
      <c r="J1184" s="28"/>
      <c r="K1184" s="28"/>
    </row>
    <row r="1185">
      <c r="A1185" s="28"/>
      <c r="B1185" s="28"/>
      <c r="C1185" s="28"/>
      <c r="D1185" s="28"/>
      <c r="E1185" s="28"/>
      <c r="F1185" s="28"/>
      <c r="G1185" s="28"/>
      <c r="H1185" s="28"/>
      <c r="I1185" s="28"/>
      <c r="J1185" s="28"/>
      <c r="K1185" s="28"/>
    </row>
    <row r="1186">
      <c r="A1186" s="28"/>
      <c r="B1186" s="28"/>
      <c r="C1186" s="28"/>
      <c r="D1186" s="28"/>
      <c r="E1186" s="28"/>
      <c r="F1186" s="28"/>
      <c r="G1186" s="28"/>
      <c r="H1186" s="28"/>
      <c r="I1186" s="28"/>
      <c r="J1186" s="28"/>
      <c r="K1186" s="28"/>
    </row>
    <row r="1187">
      <c r="A1187" s="28"/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</row>
    <row r="1188">
      <c r="A1188" s="28"/>
      <c r="B1188" s="28"/>
      <c r="C1188" s="28"/>
      <c r="D1188" s="28"/>
      <c r="E1188" s="28"/>
      <c r="F1188" s="28"/>
      <c r="G1188" s="28"/>
      <c r="H1188" s="28"/>
      <c r="I1188" s="28"/>
      <c r="J1188" s="28"/>
      <c r="K1188" s="28"/>
    </row>
    <row r="1189">
      <c r="A1189" s="28"/>
      <c r="B1189" s="28"/>
      <c r="C1189" s="28"/>
      <c r="D1189" s="28"/>
      <c r="E1189" s="28"/>
      <c r="F1189" s="28"/>
      <c r="G1189" s="28"/>
      <c r="H1189" s="28"/>
      <c r="I1189" s="28"/>
      <c r="J1189" s="28"/>
      <c r="K1189" s="28"/>
    </row>
    <row r="1190">
      <c r="A1190" s="28"/>
      <c r="B1190" s="28"/>
      <c r="C1190" s="28"/>
      <c r="D1190" s="28"/>
      <c r="E1190" s="28"/>
      <c r="F1190" s="28"/>
      <c r="G1190" s="28"/>
      <c r="H1190" s="28"/>
      <c r="I1190" s="28"/>
      <c r="J1190" s="28"/>
      <c r="K1190" s="28"/>
    </row>
    <row r="1191">
      <c r="A1191" s="28"/>
      <c r="B1191" s="28"/>
      <c r="C1191" s="28"/>
      <c r="D1191" s="28"/>
      <c r="E1191" s="28"/>
      <c r="F1191" s="28"/>
      <c r="G1191" s="28"/>
      <c r="H1191" s="28"/>
      <c r="I1191" s="28"/>
      <c r="J1191" s="28"/>
      <c r="K1191" s="28"/>
    </row>
    <row r="1192">
      <c r="A1192" s="28"/>
      <c r="B1192" s="28"/>
      <c r="C1192" s="28"/>
      <c r="D1192" s="28"/>
      <c r="E1192" s="28"/>
      <c r="F1192" s="28"/>
      <c r="G1192" s="28"/>
      <c r="H1192" s="28"/>
      <c r="I1192" s="28"/>
      <c r="J1192" s="28"/>
      <c r="K1192" s="28"/>
    </row>
    <row r="1193">
      <c r="A1193" s="28"/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</row>
    <row r="1194">
      <c r="A1194" s="28"/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</row>
    <row r="1195">
      <c r="A1195" s="28"/>
      <c r="B1195" s="28"/>
      <c r="C1195" s="28"/>
      <c r="D1195" s="28"/>
      <c r="E1195" s="28"/>
      <c r="F1195" s="28"/>
      <c r="G1195" s="28"/>
      <c r="H1195" s="28"/>
      <c r="I1195" s="28"/>
      <c r="J1195" s="28"/>
      <c r="K1195" s="28"/>
    </row>
    <row r="1196">
      <c r="A1196" s="28"/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</row>
    <row r="1197">
      <c r="A1197" s="28"/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</row>
    <row r="1198">
      <c r="A1198" s="28"/>
      <c r="B1198" s="28"/>
      <c r="C1198" s="28"/>
      <c r="D1198" s="28"/>
      <c r="E1198" s="28"/>
      <c r="F1198" s="28"/>
      <c r="G1198" s="28"/>
      <c r="H1198" s="28"/>
      <c r="I1198" s="28"/>
      <c r="J1198" s="28"/>
      <c r="K1198" s="28"/>
    </row>
    <row r="1199">
      <c r="A1199" s="28"/>
      <c r="B1199" s="28"/>
      <c r="C1199" s="28"/>
      <c r="D1199" s="28"/>
      <c r="E1199" s="28"/>
      <c r="F1199" s="28"/>
      <c r="G1199" s="28"/>
      <c r="H1199" s="28"/>
      <c r="I1199" s="28"/>
      <c r="J1199" s="28"/>
      <c r="K1199" s="28"/>
    </row>
    <row r="1200">
      <c r="A1200" s="28"/>
      <c r="B1200" s="28"/>
      <c r="C1200" s="28"/>
      <c r="D1200" s="28"/>
      <c r="E1200" s="28"/>
      <c r="F1200" s="28"/>
      <c r="G1200" s="28"/>
      <c r="H1200" s="28"/>
      <c r="I1200" s="28"/>
      <c r="J1200" s="28"/>
      <c r="K1200" s="28"/>
    </row>
    <row r="1201">
      <c r="A1201" s="28"/>
      <c r="B1201" s="28"/>
      <c r="C1201" s="28"/>
      <c r="D1201" s="28"/>
      <c r="E1201" s="28"/>
      <c r="F1201" s="28"/>
      <c r="G1201" s="28"/>
      <c r="H1201" s="28"/>
      <c r="I1201" s="28"/>
      <c r="J1201" s="28"/>
      <c r="K1201" s="28"/>
    </row>
    <row r="1202">
      <c r="A1202" s="28"/>
      <c r="B1202" s="28"/>
      <c r="C1202" s="28"/>
      <c r="D1202" s="28"/>
      <c r="E1202" s="28"/>
      <c r="F1202" s="28"/>
      <c r="G1202" s="28"/>
      <c r="H1202" s="28"/>
      <c r="I1202" s="28"/>
      <c r="J1202" s="28"/>
      <c r="K1202" s="28"/>
    </row>
    <row r="1203">
      <c r="A1203" s="28"/>
      <c r="B1203" s="28"/>
      <c r="C1203" s="28"/>
      <c r="D1203" s="28"/>
      <c r="E1203" s="28"/>
      <c r="F1203" s="28"/>
      <c r="G1203" s="28"/>
      <c r="H1203" s="28"/>
      <c r="I1203" s="28"/>
      <c r="J1203" s="28"/>
      <c r="K1203" s="28"/>
    </row>
    <row r="1204">
      <c r="A1204" s="28"/>
      <c r="B1204" s="28"/>
      <c r="C1204" s="28"/>
      <c r="D1204" s="28"/>
      <c r="E1204" s="28"/>
      <c r="F1204" s="28"/>
      <c r="G1204" s="28"/>
      <c r="H1204" s="28"/>
      <c r="I1204" s="28"/>
      <c r="J1204" s="28"/>
      <c r="K1204" s="28"/>
    </row>
    <row r="1205">
      <c r="A1205" s="28"/>
      <c r="B1205" s="28"/>
      <c r="C1205" s="28"/>
      <c r="D1205" s="28"/>
      <c r="E1205" s="28"/>
      <c r="F1205" s="28"/>
      <c r="G1205" s="28"/>
      <c r="H1205" s="28"/>
      <c r="I1205" s="28"/>
      <c r="J1205" s="28"/>
      <c r="K1205" s="28"/>
    </row>
    <row r="1206">
      <c r="A1206" s="28"/>
      <c r="B1206" s="28"/>
      <c r="C1206" s="28"/>
      <c r="D1206" s="28"/>
      <c r="E1206" s="28"/>
      <c r="F1206" s="28"/>
      <c r="G1206" s="28"/>
      <c r="H1206" s="28"/>
      <c r="I1206" s="28"/>
      <c r="J1206" s="28"/>
      <c r="K1206" s="28"/>
    </row>
    <row r="1207">
      <c r="A1207" s="28"/>
      <c r="B1207" s="28"/>
      <c r="C1207" s="28"/>
      <c r="D1207" s="28"/>
      <c r="E1207" s="28"/>
      <c r="F1207" s="28"/>
      <c r="G1207" s="28"/>
      <c r="H1207" s="28"/>
      <c r="I1207" s="28"/>
      <c r="J1207" s="28"/>
      <c r="K1207" s="28"/>
    </row>
    <row r="1208">
      <c r="A1208" s="28"/>
      <c r="B1208" s="28"/>
      <c r="C1208" s="28"/>
      <c r="D1208" s="28"/>
      <c r="E1208" s="28"/>
      <c r="F1208" s="28"/>
      <c r="G1208" s="28"/>
      <c r="H1208" s="28"/>
      <c r="I1208" s="28"/>
      <c r="J1208" s="28"/>
      <c r="K1208" s="28"/>
    </row>
    <row r="1209">
      <c r="A1209" s="28"/>
      <c r="B1209" s="28"/>
      <c r="C1209" s="28"/>
      <c r="D1209" s="28"/>
      <c r="E1209" s="28"/>
      <c r="F1209" s="28"/>
      <c r="G1209" s="28"/>
      <c r="H1209" s="28"/>
      <c r="I1209" s="28"/>
      <c r="J1209" s="28"/>
      <c r="K1209" s="28"/>
    </row>
    <row r="1210">
      <c r="A1210" s="28"/>
      <c r="B1210" s="28"/>
      <c r="C1210" s="28"/>
      <c r="D1210" s="28"/>
      <c r="E1210" s="28"/>
      <c r="F1210" s="28"/>
      <c r="G1210" s="28"/>
      <c r="H1210" s="28"/>
      <c r="I1210" s="28"/>
      <c r="J1210" s="28"/>
      <c r="K1210" s="28"/>
    </row>
    <row r="1211">
      <c r="A1211" s="28"/>
      <c r="B1211" s="28"/>
      <c r="C1211" s="28"/>
      <c r="D1211" s="28"/>
      <c r="E1211" s="28"/>
      <c r="F1211" s="28"/>
      <c r="G1211" s="28"/>
      <c r="H1211" s="28"/>
      <c r="I1211" s="28"/>
      <c r="J1211" s="28"/>
      <c r="K1211" s="28"/>
    </row>
    <row r="1212">
      <c r="A1212" s="28"/>
      <c r="B1212" s="28"/>
      <c r="C1212" s="28"/>
      <c r="D1212" s="28"/>
      <c r="E1212" s="28"/>
      <c r="F1212" s="28"/>
      <c r="G1212" s="28"/>
      <c r="H1212" s="28"/>
      <c r="I1212" s="28"/>
      <c r="J1212" s="28"/>
      <c r="K1212" s="28"/>
    </row>
    <row r="1213">
      <c r="A1213" s="28"/>
      <c r="B1213" s="28"/>
      <c r="C1213" s="28"/>
      <c r="D1213" s="28"/>
      <c r="E1213" s="28"/>
      <c r="F1213" s="28"/>
      <c r="G1213" s="28"/>
      <c r="H1213" s="28"/>
      <c r="I1213" s="28"/>
      <c r="J1213" s="28"/>
      <c r="K1213" s="28"/>
    </row>
    <row r="1214">
      <c r="A1214" s="28"/>
      <c r="B1214" s="28"/>
      <c r="C1214" s="28"/>
      <c r="D1214" s="28"/>
      <c r="E1214" s="28"/>
      <c r="F1214" s="28"/>
      <c r="G1214" s="28"/>
      <c r="H1214" s="28"/>
      <c r="I1214" s="28"/>
      <c r="J1214" s="28"/>
      <c r="K1214" s="28"/>
    </row>
    <row r="1215">
      <c r="A1215" s="28"/>
      <c r="B1215" s="28"/>
      <c r="C1215" s="28"/>
      <c r="D1215" s="28"/>
      <c r="E1215" s="28"/>
      <c r="F1215" s="28"/>
      <c r="G1215" s="28"/>
      <c r="H1215" s="28"/>
      <c r="I1215" s="28"/>
      <c r="J1215" s="28"/>
      <c r="K1215" s="28"/>
    </row>
    <row r="1216">
      <c r="A1216" s="28"/>
      <c r="B1216" s="28"/>
      <c r="C1216" s="28"/>
      <c r="D1216" s="28"/>
      <c r="E1216" s="28"/>
      <c r="F1216" s="28"/>
      <c r="G1216" s="28"/>
      <c r="H1216" s="28"/>
      <c r="I1216" s="28"/>
      <c r="J1216" s="28"/>
      <c r="K1216" s="28"/>
    </row>
    <row r="1217">
      <c r="A1217" s="28"/>
      <c r="B1217" s="28"/>
      <c r="C1217" s="28"/>
      <c r="D1217" s="28"/>
      <c r="E1217" s="28"/>
      <c r="F1217" s="28"/>
      <c r="G1217" s="28"/>
      <c r="H1217" s="28"/>
      <c r="I1217" s="28"/>
      <c r="J1217" s="28"/>
      <c r="K1217" s="28"/>
    </row>
    <row r="1218">
      <c r="A1218" s="28"/>
      <c r="B1218" s="28"/>
      <c r="C1218" s="28"/>
      <c r="D1218" s="28"/>
      <c r="E1218" s="28"/>
      <c r="F1218" s="28"/>
      <c r="G1218" s="28"/>
      <c r="H1218" s="28"/>
      <c r="I1218" s="28"/>
      <c r="J1218" s="28"/>
      <c r="K1218" s="28"/>
    </row>
    <row r="1219">
      <c r="A1219" s="28"/>
      <c r="B1219" s="28"/>
      <c r="C1219" s="28"/>
      <c r="D1219" s="28"/>
      <c r="E1219" s="28"/>
      <c r="F1219" s="28"/>
      <c r="G1219" s="28"/>
      <c r="H1219" s="28"/>
      <c r="I1219" s="28"/>
      <c r="J1219" s="28"/>
      <c r="K1219" s="28"/>
    </row>
    <row r="1220">
      <c r="A1220" s="28"/>
      <c r="B1220" s="28"/>
      <c r="C1220" s="28"/>
      <c r="D1220" s="28"/>
      <c r="E1220" s="28"/>
      <c r="F1220" s="28"/>
      <c r="G1220" s="28"/>
      <c r="H1220" s="28"/>
      <c r="I1220" s="28"/>
      <c r="J1220" s="28"/>
      <c r="K1220" s="28"/>
    </row>
    <row r="1221">
      <c r="A1221" s="28"/>
      <c r="B1221" s="28"/>
      <c r="C1221" s="28"/>
      <c r="D1221" s="28"/>
      <c r="E1221" s="28"/>
      <c r="F1221" s="28"/>
      <c r="G1221" s="28"/>
      <c r="H1221" s="28"/>
      <c r="I1221" s="28"/>
      <c r="J1221" s="28"/>
      <c r="K1221" s="28"/>
    </row>
    <row r="1222">
      <c r="A1222" s="28"/>
      <c r="B1222" s="28"/>
      <c r="C1222" s="28"/>
      <c r="D1222" s="28"/>
      <c r="E1222" s="28"/>
      <c r="F1222" s="28"/>
      <c r="G1222" s="28"/>
      <c r="H1222" s="28"/>
      <c r="I1222" s="28"/>
      <c r="J1222" s="28"/>
      <c r="K1222" s="28"/>
    </row>
    <row r="1223">
      <c r="A1223" s="28"/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</row>
    <row r="1224">
      <c r="A1224" s="28"/>
      <c r="B1224" s="28"/>
      <c r="C1224" s="28"/>
      <c r="D1224" s="28"/>
      <c r="E1224" s="28"/>
      <c r="F1224" s="28"/>
      <c r="G1224" s="28"/>
      <c r="H1224" s="28"/>
      <c r="I1224" s="28"/>
      <c r="J1224" s="28"/>
      <c r="K1224" s="28"/>
    </row>
    <row r="1225">
      <c r="A1225" s="28"/>
      <c r="B1225" s="28"/>
      <c r="C1225" s="28"/>
      <c r="D1225" s="28"/>
      <c r="E1225" s="28"/>
      <c r="F1225" s="28"/>
      <c r="G1225" s="28"/>
      <c r="H1225" s="28"/>
      <c r="I1225" s="28"/>
      <c r="J1225" s="28"/>
      <c r="K1225" s="28"/>
    </row>
    <row r="1226">
      <c r="A1226" s="28"/>
      <c r="B1226" s="28"/>
      <c r="C1226" s="28"/>
      <c r="D1226" s="28"/>
      <c r="E1226" s="28"/>
      <c r="F1226" s="28"/>
      <c r="G1226" s="28"/>
      <c r="H1226" s="28"/>
      <c r="I1226" s="28"/>
      <c r="J1226" s="28"/>
      <c r="K1226" s="28"/>
    </row>
    <row r="1227">
      <c r="A1227" s="28"/>
      <c r="B1227" s="28"/>
      <c r="C1227" s="28"/>
      <c r="D1227" s="28"/>
      <c r="E1227" s="28"/>
      <c r="F1227" s="28"/>
      <c r="G1227" s="28"/>
      <c r="H1227" s="28"/>
      <c r="I1227" s="28"/>
      <c r="J1227" s="28"/>
      <c r="K1227" s="28"/>
    </row>
    <row r="1228">
      <c r="A1228" s="28"/>
      <c r="B1228" s="28"/>
      <c r="C1228" s="28"/>
      <c r="D1228" s="28"/>
      <c r="E1228" s="28"/>
      <c r="F1228" s="28"/>
      <c r="G1228" s="28"/>
      <c r="H1228" s="28"/>
      <c r="I1228" s="28"/>
      <c r="J1228" s="28"/>
      <c r="K1228" s="28"/>
    </row>
    <row r="1229">
      <c r="A1229" s="28"/>
      <c r="B1229" s="28"/>
      <c r="C1229" s="28"/>
      <c r="D1229" s="28"/>
      <c r="E1229" s="28"/>
      <c r="F1229" s="28"/>
      <c r="G1229" s="28"/>
      <c r="H1229" s="28"/>
      <c r="I1229" s="28"/>
      <c r="J1229" s="28"/>
      <c r="K1229" s="28"/>
    </row>
    <row r="1230">
      <c r="A1230" s="28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</row>
    <row r="1231">
      <c r="A1231" s="28"/>
      <c r="B1231" s="28"/>
      <c r="C1231" s="28"/>
      <c r="D1231" s="28"/>
      <c r="E1231" s="28"/>
      <c r="F1231" s="28"/>
      <c r="G1231" s="28"/>
      <c r="H1231" s="28"/>
      <c r="I1231" s="28"/>
      <c r="J1231" s="28"/>
      <c r="K1231" s="28"/>
    </row>
    <row r="1232">
      <c r="A1232" s="28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</row>
    <row r="1233">
      <c r="A1233" s="28"/>
      <c r="B1233" s="28"/>
      <c r="C1233" s="28"/>
      <c r="D1233" s="28"/>
      <c r="E1233" s="28"/>
      <c r="F1233" s="28"/>
      <c r="G1233" s="28"/>
      <c r="H1233" s="28"/>
      <c r="I1233" s="28"/>
      <c r="J1233" s="28"/>
      <c r="K1233" s="28"/>
    </row>
    <row r="1234">
      <c r="A1234" s="28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</row>
    <row r="1235">
      <c r="A1235" s="28"/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</row>
    <row r="1236">
      <c r="A1236" s="28"/>
      <c r="B1236" s="28"/>
      <c r="C1236" s="28"/>
      <c r="D1236" s="28"/>
      <c r="E1236" s="28"/>
      <c r="F1236" s="28"/>
      <c r="G1236" s="28"/>
      <c r="H1236" s="28"/>
      <c r="I1236" s="28"/>
      <c r="J1236" s="28"/>
      <c r="K1236" s="28"/>
    </row>
    <row r="1237">
      <c r="A1237" s="28"/>
      <c r="B1237" s="28"/>
      <c r="C1237" s="28"/>
      <c r="D1237" s="28"/>
      <c r="E1237" s="28"/>
      <c r="F1237" s="28"/>
      <c r="G1237" s="28"/>
      <c r="H1237" s="28"/>
      <c r="I1237" s="28"/>
      <c r="J1237" s="28"/>
      <c r="K1237" s="28"/>
    </row>
    <row r="1238">
      <c r="A1238" s="28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</row>
    <row r="1239">
      <c r="A1239" s="28"/>
      <c r="B1239" s="28"/>
      <c r="C1239" s="28"/>
      <c r="D1239" s="28"/>
      <c r="E1239" s="28"/>
      <c r="F1239" s="28"/>
      <c r="G1239" s="28"/>
      <c r="H1239" s="28"/>
      <c r="I1239" s="28"/>
      <c r="J1239" s="28"/>
      <c r="K1239" s="28"/>
    </row>
    <row r="1240">
      <c r="A1240" s="28"/>
      <c r="B1240" s="28"/>
      <c r="C1240" s="28"/>
      <c r="D1240" s="28"/>
      <c r="E1240" s="28"/>
      <c r="F1240" s="28"/>
      <c r="G1240" s="28"/>
      <c r="H1240" s="28"/>
      <c r="I1240" s="28"/>
      <c r="J1240" s="28"/>
      <c r="K1240" s="28"/>
    </row>
    <row r="1241">
      <c r="A1241" s="28"/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</row>
    <row r="1242">
      <c r="A1242" s="28"/>
      <c r="B1242" s="28"/>
      <c r="C1242" s="28"/>
      <c r="D1242" s="28"/>
      <c r="E1242" s="28"/>
      <c r="F1242" s="28"/>
      <c r="G1242" s="28"/>
      <c r="H1242" s="28"/>
      <c r="I1242" s="28"/>
      <c r="J1242" s="28"/>
      <c r="K1242" s="28"/>
    </row>
    <row r="1243">
      <c r="A1243" s="28"/>
      <c r="B1243" s="28"/>
      <c r="C1243" s="28"/>
      <c r="D1243" s="28"/>
      <c r="E1243" s="28"/>
      <c r="F1243" s="28"/>
      <c r="G1243" s="28"/>
      <c r="H1243" s="28"/>
      <c r="I1243" s="28"/>
      <c r="J1243" s="28"/>
      <c r="K1243" s="28"/>
    </row>
    <row r="1244">
      <c r="A1244" s="28"/>
      <c r="B1244" s="28"/>
      <c r="C1244" s="28"/>
      <c r="D1244" s="28"/>
      <c r="E1244" s="28"/>
      <c r="F1244" s="28"/>
      <c r="G1244" s="28"/>
      <c r="H1244" s="28"/>
      <c r="I1244" s="28"/>
      <c r="J1244" s="28"/>
      <c r="K1244" s="28"/>
    </row>
    <row r="1245">
      <c r="A1245" s="28"/>
      <c r="B1245" s="28"/>
      <c r="C1245" s="28"/>
      <c r="D1245" s="28"/>
      <c r="E1245" s="28"/>
      <c r="F1245" s="28"/>
      <c r="G1245" s="28"/>
      <c r="H1245" s="28"/>
      <c r="I1245" s="28"/>
      <c r="J1245" s="28"/>
      <c r="K1245" s="28"/>
    </row>
    <row r="1246">
      <c r="A1246" s="28"/>
      <c r="B1246" s="28"/>
      <c r="C1246" s="28"/>
      <c r="D1246" s="28"/>
      <c r="E1246" s="28"/>
      <c r="F1246" s="28"/>
      <c r="G1246" s="28"/>
      <c r="H1246" s="28"/>
      <c r="I1246" s="28"/>
      <c r="J1246" s="28"/>
      <c r="K1246" s="28"/>
    </row>
    <row r="1247">
      <c r="A1247" s="28"/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</row>
    <row r="1248">
      <c r="A1248" s="28"/>
      <c r="B1248" s="28"/>
      <c r="C1248" s="28"/>
      <c r="D1248" s="28"/>
      <c r="E1248" s="28"/>
      <c r="F1248" s="28"/>
      <c r="G1248" s="28"/>
      <c r="H1248" s="28"/>
      <c r="I1248" s="28"/>
      <c r="J1248" s="28"/>
      <c r="K1248" s="28"/>
    </row>
    <row r="1249">
      <c r="A1249" s="28"/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</row>
    <row r="1250">
      <c r="A1250" s="28"/>
      <c r="B1250" s="28"/>
      <c r="C1250" s="28"/>
      <c r="D1250" s="28"/>
      <c r="E1250" s="28"/>
      <c r="F1250" s="28"/>
      <c r="G1250" s="28"/>
      <c r="H1250" s="28"/>
      <c r="I1250" s="28"/>
      <c r="J1250" s="28"/>
      <c r="K1250" s="28"/>
    </row>
    <row r="1251">
      <c r="A1251" s="28"/>
      <c r="B1251" s="28"/>
      <c r="C1251" s="28"/>
      <c r="D1251" s="28"/>
      <c r="E1251" s="28"/>
      <c r="F1251" s="28"/>
      <c r="G1251" s="28"/>
      <c r="H1251" s="28"/>
      <c r="I1251" s="28"/>
      <c r="J1251" s="28"/>
      <c r="K1251" s="28"/>
    </row>
    <row r="1252">
      <c r="A1252" s="28"/>
      <c r="B1252" s="28"/>
      <c r="C1252" s="28"/>
      <c r="D1252" s="28"/>
      <c r="E1252" s="28"/>
      <c r="F1252" s="28"/>
      <c r="G1252" s="28"/>
      <c r="H1252" s="28"/>
      <c r="I1252" s="28"/>
      <c r="J1252" s="28"/>
      <c r="K1252" s="28"/>
    </row>
    <row r="1253">
      <c r="A1253" s="28"/>
      <c r="B1253" s="28"/>
      <c r="C1253" s="28"/>
      <c r="D1253" s="28"/>
      <c r="E1253" s="28"/>
      <c r="F1253" s="28"/>
      <c r="G1253" s="28"/>
      <c r="H1253" s="28"/>
      <c r="I1253" s="28"/>
      <c r="J1253" s="28"/>
      <c r="K1253" s="28"/>
    </row>
    <row r="1254">
      <c r="A1254" s="28"/>
      <c r="B1254" s="28"/>
      <c r="C1254" s="28"/>
      <c r="D1254" s="28"/>
      <c r="E1254" s="28"/>
      <c r="F1254" s="28"/>
      <c r="G1254" s="28"/>
      <c r="H1254" s="28"/>
      <c r="I1254" s="28"/>
      <c r="J1254" s="28"/>
      <c r="K1254" s="28"/>
    </row>
    <row r="1255">
      <c r="A1255" s="28"/>
      <c r="B1255" s="28"/>
      <c r="C1255" s="28"/>
      <c r="D1255" s="28"/>
      <c r="E1255" s="28"/>
      <c r="F1255" s="28"/>
      <c r="G1255" s="28"/>
      <c r="H1255" s="28"/>
      <c r="I1255" s="28"/>
      <c r="J1255" s="28"/>
      <c r="K1255" s="28"/>
    </row>
    <row r="1256">
      <c r="A1256" s="28"/>
      <c r="B1256" s="28"/>
      <c r="C1256" s="28"/>
      <c r="D1256" s="28"/>
      <c r="E1256" s="28"/>
      <c r="F1256" s="28"/>
      <c r="G1256" s="28"/>
      <c r="H1256" s="28"/>
      <c r="I1256" s="28"/>
      <c r="J1256" s="28"/>
      <c r="K1256" s="28"/>
    </row>
    <row r="1257">
      <c r="A1257" s="28"/>
      <c r="B1257" s="28"/>
      <c r="C1257" s="28"/>
      <c r="D1257" s="28"/>
      <c r="E1257" s="28"/>
      <c r="F1257" s="28"/>
      <c r="G1257" s="28"/>
      <c r="H1257" s="28"/>
      <c r="I1257" s="28"/>
      <c r="J1257" s="28"/>
      <c r="K1257" s="28"/>
    </row>
    <row r="1258">
      <c r="A1258" s="28"/>
      <c r="B1258" s="28"/>
      <c r="C1258" s="28"/>
      <c r="D1258" s="28"/>
      <c r="E1258" s="28"/>
      <c r="F1258" s="28"/>
      <c r="G1258" s="28"/>
      <c r="H1258" s="28"/>
      <c r="I1258" s="28"/>
      <c r="J1258" s="28"/>
      <c r="K1258" s="28"/>
    </row>
    <row r="1259">
      <c r="A1259" s="28"/>
      <c r="B1259" s="28"/>
      <c r="C1259" s="28"/>
      <c r="D1259" s="28"/>
      <c r="E1259" s="28"/>
      <c r="F1259" s="28"/>
      <c r="G1259" s="28"/>
      <c r="H1259" s="28"/>
      <c r="I1259" s="28"/>
      <c r="J1259" s="28"/>
      <c r="K1259" s="28"/>
    </row>
    <row r="1260">
      <c r="A1260" s="28"/>
      <c r="B1260" s="28"/>
      <c r="C1260" s="28"/>
      <c r="D1260" s="28"/>
      <c r="E1260" s="28"/>
      <c r="F1260" s="28"/>
      <c r="G1260" s="28"/>
      <c r="H1260" s="28"/>
      <c r="I1260" s="28"/>
      <c r="J1260" s="28"/>
      <c r="K1260" s="28"/>
    </row>
    <row r="1261">
      <c r="A1261" s="28"/>
      <c r="B1261" s="28"/>
      <c r="C1261" s="28"/>
      <c r="D1261" s="28"/>
      <c r="E1261" s="28"/>
      <c r="F1261" s="28"/>
      <c r="G1261" s="28"/>
      <c r="H1261" s="28"/>
      <c r="I1261" s="28"/>
      <c r="J1261" s="28"/>
      <c r="K1261" s="28"/>
    </row>
    <row r="1262">
      <c r="A1262" s="28"/>
      <c r="B1262" s="28"/>
      <c r="C1262" s="28"/>
      <c r="D1262" s="28"/>
      <c r="E1262" s="28"/>
      <c r="F1262" s="28"/>
      <c r="G1262" s="28"/>
      <c r="H1262" s="28"/>
      <c r="I1262" s="28"/>
      <c r="J1262" s="28"/>
      <c r="K1262" s="28"/>
    </row>
    <row r="1263">
      <c r="A1263" s="28"/>
      <c r="B1263" s="28"/>
      <c r="C1263" s="28"/>
      <c r="D1263" s="28"/>
      <c r="E1263" s="28"/>
      <c r="F1263" s="28"/>
      <c r="G1263" s="28"/>
      <c r="H1263" s="28"/>
      <c r="I1263" s="28"/>
      <c r="J1263" s="28"/>
      <c r="K1263" s="28"/>
    </row>
    <row r="1264">
      <c r="A1264" s="28"/>
      <c r="B1264" s="28"/>
      <c r="C1264" s="28"/>
      <c r="D1264" s="28"/>
      <c r="E1264" s="28"/>
      <c r="F1264" s="28"/>
      <c r="G1264" s="28"/>
      <c r="H1264" s="28"/>
      <c r="I1264" s="28"/>
      <c r="J1264" s="28"/>
      <c r="K1264" s="28"/>
    </row>
    <row r="1265">
      <c r="A1265" s="28"/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</row>
    <row r="1266">
      <c r="A1266" s="28"/>
      <c r="B1266" s="28"/>
      <c r="C1266" s="28"/>
      <c r="D1266" s="28"/>
      <c r="E1266" s="28"/>
      <c r="F1266" s="28"/>
      <c r="G1266" s="28"/>
      <c r="H1266" s="28"/>
      <c r="I1266" s="28"/>
      <c r="J1266" s="28"/>
      <c r="K1266" s="28"/>
    </row>
    <row r="1267">
      <c r="A1267" s="28"/>
      <c r="B1267" s="28"/>
      <c r="C1267" s="28"/>
      <c r="D1267" s="28"/>
      <c r="E1267" s="28"/>
      <c r="F1267" s="28"/>
      <c r="G1267" s="28"/>
      <c r="H1267" s="28"/>
      <c r="I1267" s="28"/>
      <c r="J1267" s="28"/>
      <c r="K1267" s="28"/>
    </row>
    <row r="1268">
      <c r="A1268" s="28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</row>
    <row r="1269">
      <c r="A1269" s="28"/>
      <c r="B1269" s="28"/>
      <c r="C1269" s="28"/>
      <c r="D1269" s="28"/>
      <c r="E1269" s="28"/>
      <c r="F1269" s="28"/>
      <c r="G1269" s="28"/>
      <c r="H1269" s="28"/>
      <c r="I1269" s="28"/>
      <c r="J1269" s="28"/>
      <c r="K1269" s="28"/>
    </row>
    <row r="1270">
      <c r="A1270" s="28"/>
      <c r="B1270" s="28"/>
      <c r="C1270" s="28"/>
      <c r="D1270" s="28"/>
      <c r="E1270" s="28"/>
      <c r="F1270" s="28"/>
      <c r="G1270" s="28"/>
      <c r="H1270" s="28"/>
      <c r="I1270" s="28"/>
      <c r="J1270" s="28"/>
      <c r="K1270" s="28"/>
    </row>
    <row r="1271">
      <c r="A1271" s="28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</row>
    <row r="1272">
      <c r="A1272" s="28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</row>
    <row r="1273">
      <c r="A1273" s="28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</row>
    <row r="1274">
      <c r="A1274" s="28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</row>
    <row r="1275">
      <c r="A1275" s="28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</row>
    <row r="1276">
      <c r="A1276" s="28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</row>
    <row r="1277">
      <c r="A1277" s="28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</row>
    <row r="1278">
      <c r="A1278" s="28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</row>
    <row r="1279">
      <c r="A1279" s="28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</row>
    <row r="1280">
      <c r="A1280" s="28"/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</row>
    <row r="1281">
      <c r="A1281" s="28"/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</row>
    <row r="1282">
      <c r="A1282" s="28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</row>
    <row r="1283">
      <c r="A1283" s="28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</row>
    <row r="1284">
      <c r="A1284" s="28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</row>
    <row r="1285">
      <c r="A1285" s="28"/>
      <c r="B1285" s="28"/>
      <c r="C1285" s="28"/>
      <c r="D1285" s="28"/>
      <c r="E1285" s="28"/>
      <c r="F1285" s="28"/>
      <c r="G1285" s="28"/>
      <c r="H1285" s="28"/>
      <c r="I1285" s="28"/>
      <c r="J1285" s="28"/>
      <c r="K1285" s="28"/>
    </row>
    <row r="1286">
      <c r="A1286" s="28"/>
      <c r="B1286" s="28"/>
      <c r="C1286" s="28"/>
      <c r="D1286" s="28"/>
      <c r="E1286" s="28"/>
      <c r="F1286" s="28"/>
      <c r="G1286" s="28"/>
      <c r="H1286" s="28"/>
      <c r="I1286" s="28"/>
      <c r="J1286" s="28"/>
      <c r="K1286" s="28"/>
    </row>
    <row r="1287">
      <c r="A1287" s="28"/>
      <c r="B1287" s="28"/>
      <c r="C1287" s="28"/>
      <c r="D1287" s="28"/>
      <c r="E1287" s="28"/>
      <c r="F1287" s="28"/>
      <c r="G1287" s="28"/>
      <c r="H1287" s="28"/>
      <c r="I1287" s="28"/>
      <c r="J1287" s="28"/>
      <c r="K1287" s="28"/>
    </row>
    <row r="1288">
      <c r="A1288" s="28"/>
      <c r="B1288" s="28"/>
      <c r="C1288" s="28"/>
      <c r="D1288" s="28"/>
      <c r="E1288" s="28"/>
      <c r="F1288" s="28"/>
      <c r="G1288" s="28"/>
      <c r="H1288" s="28"/>
      <c r="I1288" s="28"/>
      <c r="J1288" s="28"/>
      <c r="K1288" s="28"/>
    </row>
    <row r="1289">
      <c r="A1289" s="28"/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</row>
    <row r="1290">
      <c r="A1290" s="28"/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</row>
    <row r="1291">
      <c r="A1291" s="28"/>
      <c r="B1291" s="28"/>
      <c r="C1291" s="28"/>
      <c r="D1291" s="28"/>
      <c r="E1291" s="28"/>
      <c r="F1291" s="28"/>
      <c r="G1291" s="28"/>
      <c r="H1291" s="28"/>
      <c r="I1291" s="28"/>
      <c r="J1291" s="28"/>
      <c r="K1291" s="28"/>
    </row>
    <row r="1292">
      <c r="A1292" s="28"/>
      <c r="B1292" s="28"/>
      <c r="C1292" s="28"/>
      <c r="D1292" s="28"/>
      <c r="E1292" s="28"/>
      <c r="F1292" s="28"/>
      <c r="G1292" s="28"/>
      <c r="H1292" s="28"/>
      <c r="I1292" s="28"/>
      <c r="J1292" s="28"/>
      <c r="K1292" s="28"/>
    </row>
    <row r="1293">
      <c r="A1293" s="28"/>
      <c r="B1293" s="28"/>
      <c r="C1293" s="28"/>
      <c r="D1293" s="28"/>
      <c r="E1293" s="28"/>
      <c r="F1293" s="28"/>
      <c r="G1293" s="28"/>
      <c r="H1293" s="28"/>
      <c r="I1293" s="28"/>
      <c r="J1293" s="28"/>
      <c r="K1293" s="28"/>
    </row>
    <row r="1294">
      <c r="A1294" s="28"/>
      <c r="B1294" s="28"/>
      <c r="C1294" s="28"/>
      <c r="D1294" s="28"/>
      <c r="E1294" s="28"/>
      <c r="F1294" s="28"/>
      <c r="G1294" s="28"/>
      <c r="H1294" s="28"/>
      <c r="I1294" s="28"/>
      <c r="J1294" s="28"/>
      <c r="K1294" s="28"/>
    </row>
    <row r="1295">
      <c r="A1295" s="28"/>
      <c r="B1295" s="28"/>
      <c r="C1295" s="28"/>
      <c r="D1295" s="28"/>
      <c r="E1295" s="28"/>
      <c r="F1295" s="28"/>
      <c r="G1295" s="28"/>
      <c r="H1295" s="28"/>
      <c r="I1295" s="28"/>
      <c r="J1295" s="28"/>
      <c r="K1295" s="28"/>
    </row>
    <row r="1296">
      <c r="A1296" s="28"/>
      <c r="B1296" s="28"/>
      <c r="C1296" s="28"/>
      <c r="D1296" s="28"/>
      <c r="E1296" s="28"/>
      <c r="F1296" s="28"/>
      <c r="G1296" s="28"/>
      <c r="H1296" s="28"/>
      <c r="I1296" s="28"/>
      <c r="J1296" s="28"/>
      <c r="K1296" s="28"/>
    </row>
    <row r="1297">
      <c r="A1297" s="28"/>
      <c r="B1297" s="28"/>
      <c r="C1297" s="28"/>
      <c r="D1297" s="28"/>
      <c r="E1297" s="28"/>
      <c r="F1297" s="28"/>
      <c r="G1297" s="28"/>
      <c r="H1297" s="28"/>
      <c r="I1297" s="28"/>
      <c r="J1297" s="28"/>
      <c r="K1297" s="28"/>
    </row>
    <row r="1298">
      <c r="A1298" s="28"/>
      <c r="B1298" s="28"/>
      <c r="C1298" s="28"/>
      <c r="D1298" s="28"/>
      <c r="E1298" s="28"/>
      <c r="F1298" s="28"/>
      <c r="G1298" s="28"/>
      <c r="H1298" s="28"/>
      <c r="I1298" s="28"/>
      <c r="J1298" s="28"/>
      <c r="K1298" s="28"/>
    </row>
    <row r="1299">
      <c r="A1299" s="28"/>
      <c r="B1299" s="28"/>
      <c r="C1299" s="28"/>
      <c r="D1299" s="28"/>
      <c r="E1299" s="28"/>
      <c r="F1299" s="28"/>
      <c r="G1299" s="28"/>
      <c r="H1299" s="28"/>
      <c r="I1299" s="28"/>
      <c r="J1299" s="28"/>
      <c r="K1299" s="28"/>
    </row>
    <row r="1300">
      <c r="A1300" s="28"/>
      <c r="B1300" s="28"/>
      <c r="C1300" s="28"/>
      <c r="D1300" s="28"/>
      <c r="E1300" s="28"/>
      <c r="F1300" s="28"/>
      <c r="G1300" s="28"/>
      <c r="H1300" s="28"/>
      <c r="I1300" s="28"/>
      <c r="J1300" s="28"/>
      <c r="K1300" s="28"/>
    </row>
    <row r="1301">
      <c r="A1301" s="28"/>
      <c r="B1301" s="28"/>
      <c r="C1301" s="28"/>
      <c r="D1301" s="28"/>
      <c r="E1301" s="28"/>
      <c r="F1301" s="28"/>
      <c r="G1301" s="28"/>
      <c r="H1301" s="28"/>
      <c r="I1301" s="28"/>
      <c r="J1301" s="28"/>
      <c r="K1301" s="28"/>
    </row>
    <row r="1302">
      <c r="A1302" s="28"/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</row>
    <row r="1303">
      <c r="A1303" s="28"/>
      <c r="B1303" s="28"/>
      <c r="C1303" s="28"/>
      <c r="D1303" s="28"/>
      <c r="E1303" s="28"/>
      <c r="F1303" s="28"/>
      <c r="G1303" s="28"/>
      <c r="H1303" s="28"/>
      <c r="I1303" s="28"/>
      <c r="J1303" s="28"/>
      <c r="K1303" s="28"/>
    </row>
    <row r="1304">
      <c r="A1304" s="28"/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</row>
    <row r="1305">
      <c r="A1305" s="28"/>
      <c r="B1305" s="28"/>
      <c r="C1305" s="28"/>
      <c r="D1305" s="28"/>
      <c r="E1305" s="28"/>
      <c r="F1305" s="28"/>
      <c r="G1305" s="28"/>
      <c r="H1305" s="28"/>
      <c r="I1305" s="28"/>
      <c r="J1305" s="28"/>
      <c r="K1305" s="28"/>
    </row>
    <row r="1306">
      <c r="A1306" s="28"/>
      <c r="B1306" s="28"/>
      <c r="C1306" s="28"/>
      <c r="D1306" s="28"/>
      <c r="E1306" s="28"/>
      <c r="F1306" s="28"/>
      <c r="G1306" s="28"/>
      <c r="H1306" s="28"/>
      <c r="I1306" s="28"/>
      <c r="J1306" s="28"/>
      <c r="K1306" s="28"/>
    </row>
    <row r="1307">
      <c r="A1307" s="28"/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</row>
    <row r="1308">
      <c r="A1308" s="28"/>
      <c r="B1308" s="28"/>
      <c r="C1308" s="28"/>
      <c r="D1308" s="28"/>
      <c r="E1308" s="28"/>
      <c r="F1308" s="28"/>
      <c r="G1308" s="28"/>
      <c r="H1308" s="28"/>
      <c r="I1308" s="28"/>
      <c r="J1308" s="28"/>
      <c r="K1308" s="28"/>
    </row>
    <row r="1309">
      <c r="A1309" s="28"/>
      <c r="B1309" s="28"/>
      <c r="C1309" s="28"/>
      <c r="D1309" s="28"/>
      <c r="E1309" s="28"/>
      <c r="F1309" s="28"/>
      <c r="G1309" s="28"/>
      <c r="H1309" s="28"/>
      <c r="I1309" s="28"/>
      <c r="J1309" s="28"/>
      <c r="K1309" s="28"/>
    </row>
    <row r="1310">
      <c r="A1310" s="28"/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</row>
    <row r="1311">
      <c r="A1311" s="28"/>
      <c r="B1311" s="28"/>
      <c r="C1311" s="28"/>
      <c r="D1311" s="28"/>
      <c r="E1311" s="28"/>
      <c r="F1311" s="28"/>
      <c r="G1311" s="28"/>
      <c r="H1311" s="28"/>
      <c r="I1311" s="28"/>
      <c r="J1311" s="28"/>
      <c r="K1311" s="28"/>
    </row>
    <row r="1312">
      <c r="A1312" s="28"/>
      <c r="B1312" s="28"/>
      <c r="C1312" s="28"/>
      <c r="D1312" s="28"/>
      <c r="E1312" s="28"/>
      <c r="F1312" s="28"/>
      <c r="G1312" s="28"/>
      <c r="H1312" s="28"/>
      <c r="I1312" s="28"/>
      <c r="J1312" s="28"/>
      <c r="K1312" s="28"/>
    </row>
    <row r="1313">
      <c r="A1313" s="28"/>
      <c r="B1313" s="28"/>
      <c r="C1313" s="28"/>
      <c r="D1313" s="28"/>
      <c r="E1313" s="28"/>
      <c r="F1313" s="28"/>
      <c r="G1313" s="28"/>
      <c r="H1313" s="28"/>
      <c r="I1313" s="28"/>
      <c r="J1313" s="28"/>
      <c r="K1313" s="28"/>
    </row>
    <row r="1314">
      <c r="A1314" s="28"/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</row>
    <row r="1315">
      <c r="A1315" s="28"/>
      <c r="B1315" s="28"/>
      <c r="C1315" s="28"/>
      <c r="D1315" s="28"/>
      <c r="E1315" s="28"/>
      <c r="F1315" s="28"/>
      <c r="G1315" s="28"/>
      <c r="H1315" s="28"/>
      <c r="I1315" s="28"/>
      <c r="J1315" s="28"/>
      <c r="K1315" s="28"/>
    </row>
    <row r="1316">
      <c r="A1316" s="28"/>
      <c r="B1316" s="28"/>
      <c r="C1316" s="28"/>
      <c r="D1316" s="28"/>
      <c r="E1316" s="28"/>
      <c r="F1316" s="28"/>
      <c r="G1316" s="28"/>
      <c r="H1316" s="28"/>
      <c r="I1316" s="28"/>
      <c r="J1316" s="28"/>
      <c r="K1316" s="28"/>
    </row>
    <row r="1317">
      <c r="A1317" s="28"/>
      <c r="B1317" s="28"/>
      <c r="C1317" s="28"/>
      <c r="D1317" s="28"/>
      <c r="E1317" s="28"/>
      <c r="F1317" s="28"/>
      <c r="G1317" s="28"/>
      <c r="H1317" s="28"/>
      <c r="I1317" s="28"/>
      <c r="J1317" s="28"/>
      <c r="K1317" s="28"/>
    </row>
    <row r="1318">
      <c r="A1318" s="28"/>
      <c r="B1318" s="28"/>
      <c r="C1318" s="28"/>
      <c r="D1318" s="28"/>
      <c r="E1318" s="28"/>
      <c r="F1318" s="28"/>
      <c r="G1318" s="28"/>
      <c r="H1318" s="28"/>
      <c r="I1318" s="28"/>
      <c r="J1318" s="28"/>
      <c r="K1318" s="28"/>
    </row>
    <row r="1319">
      <c r="A1319" s="28"/>
      <c r="B1319" s="28"/>
      <c r="C1319" s="28"/>
      <c r="D1319" s="28"/>
      <c r="E1319" s="28"/>
      <c r="F1319" s="28"/>
      <c r="G1319" s="28"/>
      <c r="H1319" s="28"/>
      <c r="I1319" s="28"/>
      <c r="J1319" s="28"/>
      <c r="K1319" s="28"/>
    </row>
    <row r="1320">
      <c r="A1320" s="28"/>
      <c r="B1320" s="28"/>
      <c r="C1320" s="28"/>
      <c r="D1320" s="28"/>
      <c r="E1320" s="28"/>
      <c r="F1320" s="28"/>
      <c r="G1320" s="28"/>
      <c r="H1320" s="28"/>
      <c r="I1320" s="28"/>
      <c r="J1320" s="28"/>
      <c r="K1320" s="28"/>
    </row>
    <row r="1321">
      <c r="A1321" s="28"/>
      <c r="B1321" s="28"/>
      <c r="C1321" s="28"/>
      <c r="D1321" s="28"/>
      <c r="E1321" s="28"/>
      <c r="F1321" s="28"/>
      <c r="G1321" s="28"/>
      <c r="H1321" s="28"/>
      <c r="I1321" s="28"/>
      <c r="J1321" s="28"/>
      <c r="K1321" s="28"/>
    </row>
    <row r="1322">
      <c r="A1322" s="28"/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</row>
    <row r="1323">
      <c r="A1323" s="28"/>
      <c r="B1323" s="28"/>
      <c r="C1323" s="28"/>
      <c r="D1323" s="28"/>
      <c r="E1323" s="28"/>
      <c r="F1323" s="28"/>
      <c r="G1323" s="28"/>
      <c r="H1323" s="28"/>
      <c r="I1323" s="28"/>
      <c r="J1323" s="28"/>
      <c r="K1323" s="28"/>
    </row>
    <row r="1324">
      <c r="A1324" s="28"/>
      <c r="B1324" s="28"/>
      <c r="C1324" s="28"/>
      <c r="D1324" s="28"/>
      <c r="E1324" s="28"/>
      <c r="F1324" s="28"/>
      <c r="G1324" s="28"/>
      <c r="H1324" s="28"/>
      <c r="I1324" s="28"/>
      <c r="J1324" s="28"/>
      <c r="K1324" s="28"/>
    </row>
    <row r="1325">
      <c r="A1325" s="28"/>
      <c r="B1325" s="28"/>
      <c r="C1325" s="28"/>
      <c r="D1325" s="28"/>
      <c r="E1325" s="28"/>
      <c r="F1325" s="28"/>
      <c r="G1325" s="28"/>
      <c r="H1325" s="28"/>
      <c r="I1325" s="28"/>
      <c r="J1325" s="28"/>
      <c r="K1325" s="28"/>
    </row>
    <row r="1326">
      <c r="A1326" s="28"/>
      <c r="B1326" s="28"/>
      <c r="C1326" s="28"/>
      <c r="D1326" s="28"/>
      <c r="E1326" s="28"/>
      <c r="F1326" s="28"/>
      <c r="G1326" s="28"/>
      <c r="H1326" s="28"/>
      <c r="I1326" s="28"/>
      <c r="J1326" s="28"/>
      <c r="K1326" s="28"/>
    </row>
    <row r="1327">
      <c r="A1327" s="28"/>
      <c r="B1327" s="28"/>
      <c r="C1327" s="28"/>
      <c r="D1327" s="28"/>
      <c r="E1327" s="28"/>
      <c r="F1327" s="28"/>
      <c r="G1327" s="28"/>
      <c r="H1327" s="28"/>
      <c r="I1327" s="28"/>
      <c r="J1327" s="28"/>
      <c r="K1327" s="28"/>
    </row>
    <row r="1328">
      <c r="A1328" s="28"/>
      <c r="B1328" s="28"/>
      <c r="C1328" s="28"/>
      <c r="D1328" s="28"/>
      <c r="E1328" s="28"/>
      <c r="F1328" s="28"/>
      <c r="G1328" s="28"/>
      <c r="H1328" s="28"/>
      <c r="I1328" s="28"/>
      <c r="J1328" s="28"/>
      <c r="K1328" s="28"/>
    </row>
    <row r="1329">
      <c r="A1329" s="28"/>
      <c r="B1329" s="28"/>
      <c r="C1329" s="28"/>
      <c r="D1329" s="28"/>
      <c r="E1329" s="28"/>
      <c r="F1329" s="28"/>
      <c r="G1329" s="28"/>
      <c r="H1329" s="28"/>
      <c r="I1329" s="28"/>
      <c r="J1329" s="28"/>
      <c r="K1329" s="28"/>
    </row>
    <row r="1330">
      <c r="A1330" s="28"/>
      <c r="B1330" s="28"/>
      <c r="C1330" s="28"/>
      <c r="D1330" s="28"/>
      <c r="E1330" s="28"/>
      <c r="F1330" s="28"/>
      <c r="G1330" s="28"/>
      <c r="H1330" s="28"/>
      <c r="I1330" s="28"/>
      <c r="J1330" s="28"/>
      <c r="K1330" s="28"/>
    </row>
    <row r="1331">
      <c r="A1331" s="28"/>
      <c r="B1331" s="28"/>
      <c r="C1331" s="28"/>
      <c r="D1331" s="28"/>
      <c r="E1331" s="28"/>
      <c r="F1331" s="28"/>
      <c r="G1331" s="28"/>
      <c r="H1331" s="28"/>
      <c r="I1331" s="28"/>
      <c r="J1331" s="28"/>
      <c r="K1331" s="28"/>
    </row>
    <row r="1332">
      <c r="A1332" s="28"/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</row>
    <row r="1333">
      <c r="A1333" s="28"/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</row>
    <row r="1334">
      <c r="A1334" s="28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</row>
    <row r="1335">
      <c r="A1335" s="28"/>
      <c r="B1335" s="28"/>
      <c r="C1335" s="28"/>
      <c r="D1335" s="28"/>
      <c r="E1335" s="28"/>
      <c r="F1335" s="28"/>
      <c r="G1335" s="28"/>
      <c r="H1335" s="28"/>
      <c r="I1335" s="28"/>
      <c r="J1335" s="28"/>
      <c r="K1335" s="28"/>
    </row>
    <row r="1336">
      <c r="A1336" s="28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</row>
    <row r="1337">
      <c r="A1337" s="28"/>
      <c r="B1337" s="28"/>
      <c r="C1337" s="28"/>
      <c r="D1337" s="28"/>
      <c r="E1337" s="28"/>
      <c r="F1337" s="28"/>
      <c r="G1337" s="28"/>
      <c r="H1337" s="28"/>
      <c r="I1337" s="28"/>
      <c r="J1337" s="28"/>
      <c r="K1337" s="28"/>
    </row>
    <row r="1338">
      <c r="A1338" s="28"/>
      <c r="B1338" s="28"/>
      <c r="C1338" s="28"/>
      <c r="D1338" s="28"/>
      <c r="E1338" s="28"/>
      <c r="F1338" s="28"/>
      <c r="G1338" s="28"/>
      <c r="H1338" s="28"/>
      <c r="I1338" s="28"/>
      <c r="J1338" s="28"/>
      <c r="K1338" s="28"/>
    </row>
    <row r="1339">
      <c r="A1339" s="28"/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</row>
    <row r="1340">
      <c r="A1340" s="28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</row>
    <row r="1341">
      <c r="A1341" s="28"/>
      <c r="B1341" s="28"/>
      <c r="C1341" s="28"/>
      <c r="D1341" s="28"/>
      <c r="E1341" s="28"/>
      <c r="F1341" s="28"/>
      <c r="G1341" s="28"/>
      <c r="H1341" s="28"/>
      <c r="I1341" s="28"/>
      <c r="J1341" s="28"/>
      <c r="K1341" s="28"/>
    </row>
    <row r="1342">
      <c r="A1342" s="28"/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</row>
    <row r="1343">
      <c r="A1343" s="28"/>
      <c r="B1343" s="28"/>
      <c r="C1343" s="28"/>
      <c r="D1343" s="28"/>
      <c r="E1343" s="28"/>
      <c r="F1343" s="28"/>
      <c r="G1343" s="28"/>
      <c r="H1343" s="28"/>
      <c r="I1343" s="28"/>
      <c r="J1343" s="28"/>
      <c r="K1343" s="28"/>
    </row>
    <row r="1344">
      <c r="A1344" s="28"/>
      <c r="B1344" s="28"/>
      <c r="C1344" s="28"/>
      <c r="D1344" s="28"/>
      <c r="E1344" s="28"/>
      <c r="F1344" s="28"/>
      <c r="G1344" s="28"/>
      <c r="H1344" s="28"/>
      <c r="I1344" s="28"/>
      <c r="J1344" s="28"/>
      <c r="K1344" s="28"/>
    </row>
    <row r="1345">
      <c r="A1345" s="28"/>
      <c r="B1345" s="28"/>
      <c r="C1345" s="28"/>
      <c r="D1345" s="28"/>
      <c r="E1345" s="28"/>
      <c r="F1345" s="28"/>
      <c r="G1345" s="28"/>
      <c r="H1345" s="28"/>
      <c r="I1345" s="28"/>
      <c r="J1345" s="28"/>
      <c r="K1345" s="28"/>
    </row>
    <row r="1346">
      <c r="A1346" s="28"/>
      <c r="B1346" s="28"/>
      <c r="C1346" s="28"/>
      <c r="D1346" s="28"/>
      <c r="E1346" s="28"/>
      <c r="F1346" s="28"/>
      <c r="G1346" s="28"/>
      <c r="H1346" s="28"/>
      <c r="I1346" s="28"/>
      <c r="J1346" s="28"/>
      <c r="K1346" s="28"/>
    </row>
    <row r="1347">
      <c r="A1347" s="28"/>
      <c r="B1347" s="28"/>
      <c r="C1347" s="28"/>
      <c r="D1347" s="28"/>
      <c r="E1347" s="28"/>
      <c r="F1347" s="28"/>
      <c r="G1347" s="28"/>
      <c r="H1347" s="28"/>
      <c r="I1347" s="28"/>
      <c r="J1347" s="28"/>
      <c r="K1347" s="28"/>
    </row>
    <row r="1348">
      <c r="A1348" s="28"/>
      <c r="B1348" s="28"/>
      <c r="C1348" s="28"/>
      <c r="D1348" s="28"/>
      <c r="E1348" s="28"/>
      <c r="F1348" s="28"/>
      <c r="G1348" s="28"/>
      <c r="H1348" s="28"/>
      <c r="I1348" s="28"/>
      <c r="J1348" s="28"/>
      <c r="K1348" s="28"/>
    </row>
    <row r="1349">
      <c r="A1349" s="28"/>
      <c r="B1349" s="28"/>
      <c r="C1349" s="28"/>
      <c r="D1349" s="28"/>
      <c r="E1349" s="28"/>
      <c r="F1349" s="28"/>
      <c r="G1349" s="28"/>
      <c r="H1349" s="28"/>
      <c r="I1349" s="28"/>
      <c r="J1349" s="28"/>
      <c r="K1349" s="28"/>
    </row>
    <row r="1350">
      <c r="A1350" s="28"/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</row>
    <row r="1351">
      <c r="A1351" s="28"/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</row>
    <row r="1352">
      <c r="A1352" s="28"/>
      <c r="B1352" s="28"/>
      <c r="C1352" s="28"/>
      <c r="D1352" s="28"/>
      <c r="E1352" s="28"/>
      <c r="F1352" s="28"/>
      <c r="G1352" s="28"/>
      <c r="H1352" s="28"/>
      <c r="I1352" s="28"/>
      <c r="J1352" s="28"/>
      <c r="K1352" s="28"/>
    </row>
    <row r="1353">
      <c r="A1353" s="28"/>
      <c r="B1353" s="28"/>
      <c r="C1353" s="28"/>
      <c r="D1353" s="28"/>
      <c r="E1353" s="28"/>
      <c r="F1353" s="28"/>
      <c r="G1353" s="28"/>
      <c r="H1353" s="28"/>
      <c r="I1353" s="28"/>
      <c r="J1353" s="28"/>
      <c r="K1353" s="28"/>
    </row>
    <row r="1354">
      <c r="A1354" s="28"/>
      <c r="B1354" s="28"/>
      <c r="C1354" s="28"/>
      <c r="D1354" s="28"/>
      <c r="E1354" s="28"/>
      <c r="F1354" s="28"/>
      <c r="G1354" s="28"/>
      <c r="H1354" s="28"/>
      <c r="I1354" s="28"/>
      <c r="J1354" s="28"/>
      <c r="K1354" s="28"/>
    </row>
    <row r="1355">
      <c r="A1355" s="28"/>
      <c r="B1355" s="28"/>
      <c r="C1355" s="28"/>
      <c r="D1355" s="28"/>
      <c r="E1355" s="28"/>
      <c r="F1355" s="28"/>
      <c r="G1355" s="28"/>
      <c r="H1355" s="28"/>
      <c r="I1355" s="28"/>
      <c r="J1355" s="28"/>
      <c r="K1355" s="28"/>
    </row>
    <row r="1356">
      <c r="A1356" s="28"/>
      <c r="B1356" s="28"/>
      <c r="C1356" s="28"/>
      <c r="D1356" s="28"/>
      <c r="E1356" s="28"/>
      <c r="F1356" s="28"/>
      <c r="G1356" s="28"/>
      <c r="H1356" s="28"/>
      <c r="I1356" s="28"/>
      <c r="J1356" s="28"/>
      <c r="K1356" s="28"/>
    </row>
    <row r="1357">
      <c r="A1357" s="28"/>
      <c r="B1357" s="28"/>
      <c r="C1357" s="28"/>
      <c r="D1357" s="28"/>
      <c r="E1357" s="28"/>
      <c r="F1357" s="28"/>
      <c r="G1357" s="28"/>
      <c r="H1357" s="28"/>
      <c r="I1357" s="28"/>
      <c r="J1357" s="28"/>
      <c r="K1357" s="28"/>
    </row>
    <row r="1358">
      <c r="A1358" s="28"/>
      <c r="B1358" s="28"/>
      <c r="C1358" s="28"/>
      <c r="D1358" s="28"/>
      <c r="E1358" s="28"/>
      <c r="F1358" s="28"/>
      <c r="G1358" s="28"/>
      <c r="H1358" s="28"/>
      <c r="I1358" s="28"/>
      <c r="J1358" s="28"/>
      <c r="K1358" s="28"/>
    </row>
    <row r="1359">
      <c r="A1359" s="28"/>
      <c r="B1359" s="28"/>
      <c r="C1359" s="28"/>
      <c r="D1359" s="28"/>
      <c r="E1359" s="28"/>
      <c r="F1359" s="28"/>
      <c r="G1359" s="28"/>
      <c r="H1359" s="28"/>
      <c r="I1359" s="28"/>
      <c r="J1359" s="28"/>
      <c r="K1359" s="28"/>
    </row>
    <row r="1360">
      <c r="A1360" s="28"/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</row>
    <row r="1361">
      <c r="A1361" s="28"/>
      <c r="B1361" s="28"/>
      <c r="C1361" s="28"/>
      <c r="D1361" s="28"/>
      <c r="E1361" s="28"/>
      <c r="F1361" s="28"/>
      <c r="G1361" s="28"/>
      <c r="H1361" s="28"/>
      <c r="I1361" s="28"/>
      <c r="J1361" s="28"/>
      <c r="K1361" s="28"/>
    </row>
    <row r="1362">
      <c r="A1362" s="28"/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</row>
    <row r="1363">
      <c r="A1363" s="28"/>
      <c r="B1363" s="28"/>
      <c r="C1363" s="28"/>
      <c r="D1363" s="28"/>
      <c r="E1363" s="28"/>
      <c r="F1363" s="28"/>
      <c r="G1363" s="28"/>
      <c r="H1363" s="28"/>
      <c r="I1363" s="28"/>
      <c r="J1363" s="28"/>
      <c r="K1363" s="28"/>
    </row>
    <row r="1364">
      <c r="A1364" s="28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</row>
    <row r="1365">
      <c r="A1365" s="28"/>
      <c r="B1365" s="28"/>
      <c r="C1365" s="28"/>
      <c r="D1365" s="28"/>
      <c r="E1365" s="28"/>
      <c r="F1365" s="28"/>
      <c r="G1365" s="28"/>
      <c r="H1365" s="28"/>
      <c r="I1365" s="28"/>
      <c r="J1365" s="28"/>
      <c r="K1365" s="28"/>
    </row>
    <row r="1366">
      <c r="A1366" s="28"/>
      <c r="B1366" s="28"/>
      <c r="C1366" s="28"/>
      <c r="D1366" s="28"/>
      <c r="E1366" s="28"/>
      <c r="F1366" s="28"/>
      <c r="G1366" s="28"/>
      <c r="H1366" s="28"/>
      <c r="I1366" s="28"/>
      <c r="J1366" s="28"/>
      <c r="K1366" s="28"/>
    </row>
    <row r="1367">
      <c r="A1367" s="28"/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</row>
    <row r="1368">
      <c r="A1368" s="28"/>
      <c r="B1368" s="28"/>
      <c r="C1368" s="28"/>
      <c r="D1368" s="28"/>
      <c r="E1368" s="28"/>
      <c r="F1368" s="28"/>
      <c r="G1368" s="28"/>
      <c r="H1368" s="28"/>
      <c r="I1368" s="28"/>
      <c r="J1368" s="28"/>
      <c r="K1368" s="28"/>
    </row>
    <row r="1369">
      <c r="A1369" s="28"/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</row>
    <row r="1370">
      <c r="A1370" s="28"/>
      <c r="B1370" s="28"/>
      <c r="C1370" s="28"/>
      <c r="D1370" s="28"/>
      <c r="E1370" s="28"/>
      <c r="F1370" s="28"/>
      <c r="G1370" s="28"/>
      <c r="H1370" s="28"/>
      <c r="I1370" s="28"/>
      <c r="J1370" s="28"/>
      <c r="K1370" s="28"/>
    </row>
    <row r="1371">
      <c r="A1371" s="28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</row>
    <row r="1372">
      <c r="A1372" s="28"/>
      <c r="B1372" s="28"/>
      <c r="C1372" s="28"/>
      <c r="D1372" s="28"/>
      <c r="E1372" s="28"/>
      <c r="F1372" s="28"/>
      <c r="G1372" s="28"/>
      <c r="H1372" s="28"/>
      <c r="I1372" s="28"/>
      <c r="J1372" s="28"/>
      <c r="K1372" s="28"/>
    </row>
    <row r="1373">
      <c r="A1373" s="28"/>
      <c r="B1373" s="28"/>
      <c r="C1373" s="28"/>
      <c r="D1373" s="28"/>
      <c r="E1373" s="28"/>
      <c r="F1373" s="28"/>
      <c r="G1373" s="28"/>
      <c r="H1373" s="28"/>
      <c r="I1373" s="28"/>
      <c r="J1373" s="28"/>
      <c r="K1373" s="28"/>
    </row>
    <row r="1374">
      <c r="A1374" s="28"/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</row>
    <row r="1375">
      <c r="A1375" s="28"/>
      <c r="B1375" s="28"/>
      <c r="C1375" s="28"/>
      <c r="D1375" s="28"/>
      <c r="E1375" s="28"/>
      <c r="F1375" s="28"/>
      <c r="G1375" s="28"/>
      <c r="H1375" s="28"/>
      <c r="I1375" s="28"/>
      <c r="J1375" s="28"/>
      <c r="K1375" s="28"/>
    </row>
    <row r="1376">
      <c r="A1376" s="28"/>
      <c r="B1376" s="28"/>
      <c r="C1376" s="28"/>
      <c r="D1376" s="28"/>
      <c r="E1376" s="28"/>
      <c r="F1376" s="28"/>
      <c r="G1376" s="28"/>
      <c r="H1376" s="28"/>
      <c r="I1376" s="28"/>
      <c r="J1376" s="28"/>
      <c r="K1376" s="28"/>
    </row>
    <row r="1377">
      <c r="A1377" s="28"/>
      <c r="B1377" s="28"/>
      <c r="C1377" s="28"/>
      <c r="D1377" s="28"/>
      <c r="E1377" s="28"/>
      <c r="F1377" s="28"/>
      <c r="G1377" s="28"/>
      <c r="H1377" s="28"/>
      <c r="I1377" s="28"/>
      <c r="J1377" s="28"/>
      <c r="K1377" s="28"/>
    </row>
    <row r="1378">
      <c r="A1378" s="28"/>
      <c r="B1378" s="28"/>
      <c r="C1378" s="28"/>
      <c r="D1378" s="28"/>
      <c r="E1378" s="28"/>
      <c r="F1378" s="28"/>
      <c r="G1378" s="28"/>
      <c r="H1378" s="28"/>
      <c r="I1378" s="28"/>
      <c r="J1378" s="28"/>
      <c r="K1378" s="28"/>
    </row>
    <row r="1379">
      <c r="A1379" s="28"/>
      <c r="B1379" s="28"/>
      <c r="C1379" s="28"/>
      <c r="D1379" s="28"/>
      <c r="E1379" s="28"/>
      <c r="F1379" s="28"/>
      <c r="G1379" s="28"/>
      <c r="H1379" s="28"/>
      <c r="I1379" s="28"/>
      <c r="J1379" s="28"/>
      <c r="K1379" s="28"/>
    </row>
    <row r="1380">
      <c r="A1380" s="28"/>
      <c r="B1380" s="28"/>
      <c r="C1380" s="28"/>
      <c r="D1380" s="28"/>
      <c r="E1380" s="28"/>
      <c r="F1380" s="28"/>
      <c r="G1380" s="28"/>
      <c r="H1380" s="28"/>
      <c r="I1380" s="28"/>
      <c r="J1380" s="28"/>
      <c r="K1380" s="28"/>
    </row>
    <row r="1381">
      <c r="A1381" s="28"/>
      <c r="B1381" s="28"/>
      <c r="C1381" s="28"/>
      <c r="D1381" s="28"/>
      <c r="E1381" s="28"/>
      <c r="F1381" s="28"/>
      <c r="G1381" s="28"/>
      <c r="H1381" s="28"/>
      <c r="I1381" s="28"/>
      <c r="J1381" s="28"/>
      <c r="K1381" s="28"/>
    </row>
    <row r="1382">
      <c r="A1382" s="28"/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</row>
    <row r="1383">
      <c r="A1383" s="28"/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</row>
    <row r="1384">
      <c r="A1384" s="28"/>
      <c r="B1384" s="28"/>
      <c r="C1384" s="28"/>
      <c r="D1384" s="28"/>
      <c r="E1384" s="28"/>
      <c r="F1384" s="28"/>
      <c r="G1384" s="28"/>
      <c r="H1384" s="28"/>
      <c r="I1384" s="28"/>
      <c r="J1384" s="28"/>
      <c r="K1384" s="28"/>
    </row>
    <row r="1385">
      <c r="A1385" s="28"/>
      <c r="B1385" s="28"/>
      <c r="C1385" s="28"/>
      <c r="D1385" s="28"/>
      <c r="E1385" s="28"/>
      <c r="F1385" s="28"/>
      <c r="G1385" s="28"/>
      <c r="H1385" s="28"/>
      <c r="I1385" s="28"/>
      <c r="J1385" s="28"/>
      <c r="K1385" s="28"/>
    </row>
    <row r="1386">
      <c r="A1386" s="28"/>
      <c r="B1386" s="28"/>
      <c r="C1386" s="28"/>
      <c r="D1386" s="28"/>
      <c r="E1386" s="28"/>
      <c r="F1386" s="28"/>
      <c r="G1386" s="28"/>
      <c r="H1386" s="28"/>
      <c r="I1386" s="28"/>
      <c r="J1386" s="28"/>
      <c r="K1386" s="28"/>
    </row>
    <row r="1387">
      <c r="A1387" s="28"/>
      <c r="B1387" s="28"/>
      <c r="C1387" s="28"/>
      <c r="D1387" s="28"/>
      <c r="E1387" s="28"/>
      <c r="F1387" s="28"/>
      <c r="G1387" s="28"/>
      <c r="H1387" s="28"/>
      <c r="I1387" s="28"/>
      <c r="J1387" s="28"/>
      <c r="K1387" s="28"/>
    </row>
    <row r="1388">
      <c r="A1388" s="28"/>
      <c r="B1388" s="28"/>
      <c r="C1388" s="28"/>
      <c r="D1388" s="28"/>
      <c r="E1388" s="28"/>
      <c r="F1388" s="28"/>
      <c r="G1388" s="28"/>
      <c r="H1388" s="28"/>
      <c r="I1388" s="28"/>
      <c r="J1388" s="28"/>
      <c r="K1388" s="28"/>
    </row>
    <row r="1389">
      <c r="A1389" s="28"/>
      <c r="B1389" s="28"/>
      <c r="C1389" s="28"/>
      <c r="D1389" s="28"/>
      <c r="E1389" s="28"/>
      <c r="F1389" s="28"/>
      <c r="G1389" s="28"/>
      <c r="H1389" s="28"/>
      <c r="I1389" s="28"/>
      <c r="J1389" s="28"/>
      <c r="K1389" s="28"/>
    </row>
    <row r="1390">
      <c r="A1390" s="28"/>
      <c r="B1390" s="28"/>
      <c r="C1390" s="28"/>
      <c r="D1390" s="28"/>
      <c r="E1390" s="28"/>
      <c r="F1390" s="28"/>
      <c r="G1390" s="28"/>
      <c r="H1390" s="28"/>
      <c r="I1390" s="28"/>
      <c r="J1390" s="28"/>
      <c r="K1390" s="28"/>
    </row>
    <row r="1391">
      <c r="A1391" s="28"/>
      <c r="B1391" s="28"/>
      <c r="C1391" s="28"/>
      <c r="D1391" s="28"/>
      <c r="E1391" s="28"/>
      <c r="F1391" s="28"/>
      <c r="G1391" s="28"/>
      <c r="H1391" s="28"/>
      <c r="I1391" s="28"/>
      <c r="J1391" s="28"/>
      <c r="K1391" s="28"/>
    </row>
    <row r="1392">
      <c r="A1392" s="28"/>
      <c r="B1392" s="28"/>
      <c r="C1392" s="28"/>
      <c r="D1392" s="28"/>
      <c r="E1392" s="28"/>
      <c r="F1392" s="28"/>
      <c r="G1392" s="28"/>
      <c r="H1392" s="28"/>
      <c r="I1392" s="28"/>
      <c r="J1392" s="28"/>
      <c r="K1392" s="28"/>
    </row>
    <row r="1393">
      <c r="A1393" s="28"/>
      <c r="B1393" s="28"/>
      <c r="C1393" s="28"/>
      <c r="D1393" s="28"/>
      <c r="E1393" s="28"/>
      <c r="F1393" s="28"/>
      <c r="G1393" s="28"/>
      <c r="H1393" s="28"/>
      <c r="I1393" s="28"/>
      <c r="J1393" s="28"/>
      <c r="K1393" s="28"/>
    </row>
    <row r="1394">
      <c r="A1394" s="28"/>
      <c r="B1394" s="28"/>
      <c r="C1394" s="28"/>
      <c r="D1394" s="28"/>
      <c r="E1394" s="28"/>
      <c r="F1394" s="28"/>
      <c r="G1394" s="28"/>
      <c r="H1394" s="28"/>
      <c r="I1394" s="28"/>
      <c r="J1394" s="28"/>
      <c r="K1394" s="28"/>
    </row>
    <row r="1395">
      <c r="A1395" s="28"/>
      <c r="B1395" s="28"/>
      <c r="C1395" s="28"/>
      <c r="D1395" s="28"/>
      <c r="E1395" s="28"/>
      <c r="F1395" s="28"/>
      <c r="G1395" s="28"/>
      <c r="H1395" s="28"/>
      <c r="I1395" s="28"/>
      <c r="J1395" s="28"/>
      <c r="K1395" s="28"/>
    </row>
    <row r="1396">
      <c r="A1396" s="28"/>
      <c r="B1396" s="28"/>
      <c r="C1396" s="28"/>
      <c r="D1396" s="28"/>
      <c r="E1396" s="28"/>
      <c r="F1396" s="28"/>
      <c r="G1396" s="28"/>
      <c r="H1396" s="28"/>
      <c r="I1396" s="28"/>
      <c r="J1396" s="28"/>
      <c r="K1396" s="28"/>
    </row>
    <row r="1397">
      <c r="A1397" s="28"/>
      <c r="B1397" s="28"/>
      <c r="C1397" s="28"/>
      <c r="D1397" s="28"/>
      <c r="E1397" s="28"/>
      <c r="F1397" s="28"/>
      <c r="G1397" s="28"/>
      <c r="H1397" s="28"/>
      <c r="I1397" s="28"/>
      <c r="J1397" s="28"/>
      <c r="K1397" s="28"/>
    </row>
    <row r="1398">
      <c r="A1398" s="28"/>
      <c r="B1398" s="28"/>
      <c r="C1398" s="28"/>
      <c r="D1398" s="28"/>
      <c r="E1398" s="28"/>
      <c r="F1398" s="28"/>
      <c r="G1398" s="28"/>
      <c r="H1398" s="28"/>
      <c r="I1398" s="28"/>
      <c r="J1398" s="28"/>
      <c r="K1398" s="28"/>
    </row>
    <row r="1399">
      <c r="A1399" s="28"/>
      <c r="B1399" s="28"/>
      <c r="C1399" s="28"/>
      <c r="D1399" s="28"/>
      <c r="E1399" s="28"/>
      <c r="F1399" s="28"/>
      <c r="G1399" s="28"/>
      <c r="H1399" s="28"/>
      <c r="I1399" s="28"/>
      <c r="J1399" s="28"/>
      <c r="K1399" s="28"/>
    </row>
    <row r="1400">
      <c r="A1400" s="28"/>
      <c r="B1400" s="28"/>
      <c r="C1400" s="28"/>
      <c r="D1400" s="28"/>
      <c r="E1400" s="28"/>
      <c r="F1400" s="28"/>
      <c r="G1400" s="28"/>
      <c r="H1400" s="28"/>
      <c r="I1400" s="28"/>
      <c r="J1400" s="28"/>
      <c r="K1400" s="28"/>
    </row>
    <row r="1401">
      <c r="A1401" s="28"/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</row>
    <row r="1402">
      <c r="A1402" s="28"/>
      <c r="B1402" s="28"/>
      <c r="C1402" s="28"/>
      <c r="D1402" s="28"/>
      <c r="E1402" s="28"/>
      <c r="F1402" s="28"/>
      <c r="G1402" s="28"/>
      <c r="H1402" s="28"/>
      <c r="I1402" s="28"/>
      <c r="J1402" s="28"/>
      <c r="K1402" s="28"/>
    </row>
    <row r="1403">
      <c r="A1403" s="28"/>
      <c r="B1403" s="28"/>
      <c r="C1403" s="28"/>
      <c r="D1403" s="28"/>
      <c r="E1403" s="28"/>
      <c r="F1403" s="28"/>
      <c r="G1403" s="28"/>
      <c r="H1403" s="28"/>
      <c r="I1403" s="28"/>
      <c r="J1403" s="28"/>
      <c r="K1403" s="28"/>
    </row>
    <row r="1404">
      <c r="A1404" s="28"/>
      <c r="B1404" s="28"/>
      <c r="C1404" s="28"/>
      <c r="D1404" s="28"/>
      <c r="E1404" s="28"/>
      <c r="F1404" s="28"/>
      <c r="G1404" s="28"/>
      <c r="H1404" s="28"/>
      <c r="I1404" s="28"/>
      <c r="J1404" s="28"/>
      <c r="K1404" s="28"/>
    </row>
    <row r="1405">
      <c r="A1405" s="28"/>
      <c r="B1405" s="28"/>
      <c r="C1405" s="28"/>
      <c r="D1405" s="28"/>
      <c r="E1405" s="28"/>
      <c r="F1405" s="28"/>
      <c r="G1405" s="28"/>
      <c r="H1405" s="28"/>
      <c r="I1405" s="28"/>
      <c r="J1405" s="28"/>
      <c r="K1405" s="28"/>
    </row>
    <row r="1406">
      <c r="A1406" s="28"/>
      <c r="B1406" s="28"/>
      <c r="C1406" s="28"/>
      <c r="D1406" s="28"/>
      <c r="E1406" s="28"/>
      <c r="F1406" s="28"/>
      <c r="G1406" s="28"/>
      <c r="H1406" s="28"/>
      <c r="I1406" s="28"/>
      <c r="J1406" s="28"/>
      <c r="K1406" s="28"/>
    </row>
    <row r="1407">
      <c r="A1407" s="28"/>
      <c r="B1407" s="28"/>
      <c r="C1407" s="28"/>
      <c r="D1407" s="28"/>
      <c r="E1407" s="28"/>
      <c r="F1407" s="28"/>
      <c r="G1407" s="28"/>
      <c r="H1407" s="28"/>
      <c r="I1407" s="28"/>
      <c r="J1407" s="28"/>
      <c r="K1407" s="28"/>
    </row>
    <row r="1408">
      <c r="A1408" s="28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</row>
    <row r="1409">
      <c r="A1409" s="28"/>
      <c r="B1409" s="28"/>
      <c r="C1409" s="28"/>
      <c r="D1409" s="28"/>
      <c r="E1409" s="28"/>
      <c r="F1409" s="28"/>
      <c r="G1409" s="28"/>
      <c r="H1409" s="28"/>
      <c r="I1409" s="28"/>
      <c r="J1409" s="28"/>
      <c r="K1409" s="28"/>
    </row>
    <row r="1410">
      <c r="A1410" s="28"/>
      <c r="B1410" s="28"/>
      <c r="C1410" s="28"/>
      <c r="D1410" s="28"/>
      <c r="E1410" s="28"/>
      <c r="F1410" s="28"/>
      <c r="G1410" s="28"/>
      <c r="H1410" s="28"/>
      <c r="I1410" s="28"/>
      <c r="J1410" s="28"/>
      <c r="K1410" s="28"/>
    </row>
    <row r="1411">
      <c r="A1411" s="28"/>
      <c r="B1411" s="28"/>
      <c r="C1411" s="28"/>
      <c r="D1411" s="28"/>
      <c r="E1411" s="28"/>
      <c r="F1411" s="28"/>
      <c r="G1411" s="28"/>
      <c r="H1411" s="28"/>
      <c r="I1411" s="28"/>
      <c r="J1411" s="28"/>
      <c r="K1411" s="28"/>
    </row>
    <row r="1412">
      <c r="A1412" s="28"/>
      <c r="B1412" s="28"/>
      <c r="C1412" s="28"/>
      <c r="D1412" s="28"/>
      <c r="E1412" s="28"/>
      <c r="F1412" s="28"/>
      <c r="G1412" s="28"/>
      <c r="H1412" s="28"/>
      <c r="I1412" s="28"/>
      <c r="J1412" s="28"/>
      <c r="K1412" s="28"/>
    </row>
    <row r="1413">
      <c r="A1413" s="28"/>
      <c r="B1413" s="28"/>
      <c r="C1413" s="28"/>
      <c r="D1413" s="28"/>
      <c r="E1413" s="28"/>
      <c r="F1413" s="28"/>
      <c r="G1413" s="28"/>
      <c r="H1413" s="28"/>
      <c r="I1413" s="28"/>
      <c r="J1413" s="28"/>
      <c r="K1413" s="28"/>
    </row>
    <row r="1414">
      <c r="A1414" s="28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</row>
    <row r="1415">
      <c r="A1415" s="28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</row>
    <row r="1416">
      <c r="A1416" s="28"/>
      <c r="B1416" s="28"/>
      <c r="C1416" s="28"/>
      <c r="D1416" s="28"/>
      <c r="E1416" s="28"/>
      <c r="F1416" s="28"/>
      <c r="G1416" s="28"/>
      <c r="H1416" s="28"/>
      <c r="I1416" s="28"/>
      <c r="J1416" s="28"/>
      <c r="K1416" s="28"/>
    </row>
    <row r="1417">
      <c r="A1417" s="28"/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</row>
    <row r="1418">
      <c r="A1418" s="28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</row>
    <row r="1419">
      <c r="A1419" s="28"/>
      <c r="B1419" s="28"/>
      <c r="C1419" s="28"/>
      <c r="D1419" s="28"/>
      <c r="E1419" s="28"/>
      <c r="F1419" s="28"/>
      <c r="G1419" s="28"/>
      <c r="H1419" s="28"/>
      <c r="I1419" s="28"/>
      <c r="J1419" s="28"/>
      <c r="K1419" s="28"/>
    </row>
    <row r="1420">
      <c r="A1420" s="28"/>
      <c r="B1420" s="28"/>
      <c r="C1420" s="28"/>
      <c r="D1420" s="28"/>
      <c r="E1420" s="28"/>
      <c r="F1420" s="28"/>
      <c r="G1420" s="28"/>
      <c r="H1420" s="28"/>
      <c r="I1420" s="28"/>
      <c r="J1420" s="28"/>
      <c r="K1420" s="28"/>
    </row>
    <row r="1421">
      <c r="A1421" s="28"/>
      <c r="B1421" s="28"/>
      <c r="C1421" s="28"/>
      <c r="D1421" s="28"/>
      <c r="E1421" s="28"/>
      <c r="F1421" s="28"/>
      <c r="G1421" s="28"/>
      <c r="H1421" s="28"/>
      <c r="I1421" s="28"/>
      <c r="J1421" s="28"/>
      <c r="K1421" s="28"/>
    </row>
    <row r="1422">
      <c r="A1422" s="28"/>
      <c r="B1422" s="28"/>
      <c r="C1422" s="28"/>
      <c r="D1422" s="28"/>
      <c r="E1422" s="28"/>
      <c r="F1422" s="28"/>
      <c r="G1422" s="28"/>
      <c r="H1422" s="28"/>
      <c r="I1422" s="28"/>
      <c r="J1422" s="28"/>
      <c r="K1422" s="28"/>
    </row>
    <row r="1423">
      <c r="A1423" s="28"/>
      <c r="B1423" s="28"/>
      <c r="C1423" s="28"/>
      <c r="D1423" s="28"/>
      <c r="E1423" s="28"/>
      <c r="F1423" s="28"/>
      <c r="G1423" s="28"/>
      <c r="H1423" s="28"/>
      <c r="I1423" s="28"/>
      <c r="J1423" s="28"/>
      <c r="K1423" s="28"/>
    </row>
    <row r="1424">
      <c r="A1424" s="28"/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</row>
    <row r="1425">
      <c r="A1425" s="28"/>
      <c r="B1425" s="28"/>
      <c r="C1425" s="28"/>
      <c r="D1425" s="28"/>
      <c r="E1425" s="28"/>
      <c r="F1425" s="28"/>
      <c r="G1425" s="28"/>
      <c r="H1425" s="28"/>
      <c r="I1425" s="28"/>
      <c r="J1425" s="28"/>
      <c r="K1425" s="28"/>
    </row>
    <row r="1426">
      <c r="A1426" s="28"/>
      <c r="B1426" s="28"/>
      <c r="C1426" s="28"/>
      <c r="D1426" s="28"/>
      <c r="E1426" s="28"/>
      <c r="F1426" s="28"/>
      <c r="G1426" s="28"/>
      <c r="H1426" s="28"/>
      <c r="I1426" s="28"/>
      <c r="J1426" s="28"/>
      <c r="K1426" s="28"/>
    </row>
    <row r="1427">
      <c r="A1427" s="28"/>
      <c r="B1427" s="28"/>
      <c r="C1427" s="28"/>
      <c r="D1427" s="28"/>
      <c r="E1427" s="28"/>
      <c r="F1427" s="28"/>
      <c r="G1427" s="28"/>
      <c r="H1427" s="28"/>
      <c r="I1427" s="28"/>
      <c r="J1427" s="28"/>
      <c r="K1427" s="28"/>
    </row>
    <row r="1428">
      <c r="A1428" s="28"/>
      <c r="B1428" s="28"/>
      <c r="C1428" s="28"/>
      <c r="D1428" s="28"/>
      <c r="E1428" s="28"/>
      <c r="F1428" s="28"/>
      <c r="G1428" s="28"/>
      <c r="H1428" s="28"/>
      <c r="I1428" s="28"/>
      <c r="J1428" s="28"/>
      <c r="K1428" s="28"/>
    </row>
    <row r="1429">
      <c r="A1429" s="28"/>
      <c r="B1429" s="28"/>
      <c r="C1429" s="28"/>
      <c r="D1429" s="28"/>
      <c r="E1429" s="28"/>
      <c r="F1429" s="28"/>
      <c r="G1429" s="28"/>
      <c r="H1429" s="28"/>
      <c r="I1429" s="28"/>
      <c r="J1429" s="28"/>
      <c r="K1429" s="28"/>
    </row>
    <row r="1430">
      <c r="A1430" s="28"/>
      <c r="B1430" s="28"/>
      <c r="C1430" s="28"/>
      <c r="D1430" s="28"/>
      <c r="E1430" s="28"/>
      <c r="F1430" s="28"/>
      <c r="G1430" s="28"/>
      <c r="H1430" s="28"/>
      <c r="I1430" s="28"/>
      <c r="J1430" s="28"/>
      <c r="K1430" s="28"/>
    </row>
    <row r="1431">
      <c r="A1431" s="28"/>
      <c r="B1431" s="28"/>
      <c r="C1431" s="28"/>
      <c r="D1431" s="28"/>
      <c r="E1431" s="28"/>
      <c r="F1431" s="28"/>
      <c r="G1431" s="28"/>
      <c r="H1431" s="28"/>
      <c r="I1431" s="28"/>
      <c r="J1431" s="28"/>
      <c r="K1431" s="28"/>
    </row>
    <row r="1432">
      <c r="A1432" s="28"/>
      <c r="B1432" s="28"/>
      <c r="C1432" s="28"/>
      <c r="D1432" s="28"/>
      <c r="E1432" s="28"/>
      <c r="F1432" s="28"/>
      <c r="G1432" s="28"/>
      <c r="H1432" s="28"/>
      <c r="I1432" s="28"/>
      <c r="J1432" s="28"/>
      <c r="K1432" s="28"/>
    </row>
    <row r="1433">
      <c r="A1433" s="28"/>
      <c r="B1433" s="28"/>
      <c r="C1433" s="28"/>
      <c r="D1433" s="28"/>
      <c r="E1433" s="28"/>
      <c r="F1433" s="28"/>
      <c r="G1433" s="28"/>
      <c r="H1433" s="28"/>
      <c r="I1433" s="28"/>
      <c r="J1433" s="28"/>
      <c r="K1433" s="28"/>
    </row>
    <row r="1434">
      <c r="A1434" s="28"/>
      <c r="B1434" s="28"/>
      <c r="C1434" s="28"/>
      <c r="D1434" s="28"/>
      <c r="E1434" s="28"/>
      <c r="F1434" s="28"/>
      <c r="G1434" s="28"/>
      <c r="H1434" s="28"/>
      <c r="I1434" s="28"/>
      <c r="J1434" s="28"/>
      <c r="K1434" s="28"/>
    </row>
    <row r="1435">
      <c r="A1435" s="28"/>
      <c r="B1435" s="28"/>
      <c r="C1435" s="28"/>
      <c r="D1435" s="28"/>
      <c r="E1435" s="28"/>
      <c r="F1435" s="28"/>
      <c r="G1435" s="28"/>
      <c r="H1435" s="28"/>
      <c r="I1435" s="28"/>
      <c r="J1435" s="28"/>
      <c r="K1435" s="28"/>
    </row>
    <row r="1436">
      <c r="A1436" s="28"/>
      <c r="B1436" s="28"/>
      <c r="C1436" s="28"/>
      <c r="D1436" s="28"/>
      <c r="E1436" s="28"/>
      <c r="F1436" s="28"/>
      <c r="G1436" s="28"/>
      <c r="H1436" s="28"/>
      <c r="I1436" s="28"/>
      <c r="J1436" s="28"/>
      <c r="K1436" s="28"/>
    </row>
    <row r="1437">
      <c r="A1437" s="28"/>
      <c r="B1437" s="28"/>
      <c r="C1437" s="28"/>
      <c r="D1437" s="28"/>
      <c r="E1437" s="28"/>
      <c r="F1437" s="28"/>
      <c r="G1437" s="28"/>
      <c r="H1437" s="28"/>
      <c r="I1437" s="28"/>
      <c r="J1437" s="28"/>
      <c r="K1437" s="28"/>
    </row>
    <row r="1438">
      <c r="A1438" s="28"/>
      <c r="B1438" s="28"/>
      <c r="C1438" s="28"/>
      <c r="D1438" s="28"/>
      <c r="E1438" s="28"/>
      <c r="F1438" s="28"/>
      <c r="G1438" s="28"/>
      <c r="H1438" s="28"/>
      <c r="I1438" s="28"/>
      <c r="J1438" s="28"/>
      <c r="K1438" s="28"/>
    </row>
    <row r="1439">
      <c r="A1439" s="28"/>
      <c r="B1439" s="28"/>
      <c r="C1439" s="28"/>
      <c r="D1439" s="28"/>
      <c r="E1439" s="28"/>
      <c r="F1439" s="28"/>
      <c r="G1439" s="28"/>
      <c r="H1439" s="28"/>
      <c r="I1439" s="28"/>
      <c r="J1439" s="28"/>
      <c r="K1439" s="28"/>
    </row>
    <row r="1440">
      <c r="A1440" s="28"/>
      <c r="B1440" s="28"/>
      <c r="C1440" s="28"/>
      <c r="D1440" s="28"/>
      <c r="E1440" s="28"/>
      <c r="F1440" s="28"/>
      <c r="G1440" s="28"/>
      <c r="H1440" s="28"/>
      <c r="I1440" s="28"/>
      <c r="J1440" s="28"/>
      <c r="K1440" s="28"/>
    </row>
    <row r="1441">
      <c r="A1441" s="28"/>
      <c r="B1441" s="28"/>
      <c r="C1441" s="28"/>
      <c r="D1441" s="28"/>
      <c r="E1441" s="28"/>
      <c r="F1441" s="28"/>
      <c r="G1441" s="28"/>
      <c r="H1441" s="28"/>
      <c r="I1441" s="28"/>
      <c r="J1441" s="28"/>
      <c r="K1441" s="28"/>
    </row>
    <row r="1442">
      <c r="A1442" s="28"/>
      <c r="B1442" s="28"/>
      <c r="C1442" s="28"/>
      <c r="D1442" s="28"/>
      <c r="E1442" s="28"/>
      <c r="F1442" s="28"/>
      <c r="G1442" s="28"/>
      <c r="H1442" s="28"/>
      <c r="I1442" s="28"/>
      <c r="J1442" s="28"/>
      <c r="K1442" s="28"/>
    </row>
    <row r="1443">
      <c r="A1443" s="28"/>
      <c r="B1443" s="28"/>
      <c r="C1443" s="28"/>
      <c r="D1443" s="28"/>
      <c r="E1443" s="28"/>
      <c r="F1443" s="28"/>
      <c r="G1443" s="28"/>
      <c r="H1443" s="28"/>
      <c r="I1443" s="28"/>
      <c r="J1443" s="28"/>
      <c r="K1443" s="28"/>
    </row>
    <row r="1444">
      <c r="A1444" s="28"/>
      <c r="B1444" s="28"/>
      <c r="C1444" s="28"/>
      <c r="D1444" s="28"/>
      <c r="E1444" s="28"/>
      <c r="F1444" s="28"/>
      <c r="G1444" s="28"/>
      <c r="H1444" s="28"/>
      <c r="I1444" s="28"/>
      <c r="J1444" s="28"/>
      <c r="K1444" s="28"/>
    </row>
    <row r="1445">
      <c r="A1445" s="28"/>
      <c r="B1445" s="28"/>
      <c r="C1445" s="28"/>
      <c r="D1445" s="28"/>
      <c r="E1445" s="28"/>
      <c r="F1445" s="28"/>
      <c r="G1445" s="28"/>
      <c r="H1445" s="28"/>
      <c r="I1445" s="28"/>
      <c r="J1445" s="28"/>
      <c r="K1445" s="28"/>
    </row>
    <row r="1446">
      <c r="A1446" s="28"/>
      <c r="B1446" s="28"/>
      <c r="C1446" s="28"/>
      <c r="D1446" s="28"/>
      <c r="E1446" s="28"/>
      <c r="F1446" s="28"/>
      <c r="G1446" s="28"/>
      <c r="H1446" s="28"/>
      <c r="I1446" s="28"/>
      <c r="J1446" s="28"/>
      <c r="K1446" s="28"/>
    </row>
    <row r="1447">
      <c r="A1447" s="28"/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</row>
    <row r="1448">
      <c r="A1448" s="28"/>
      <c r="B1448" s="28"/>
      <c r="C1448" s="28"/>
      <c r="D1448" s="28"/>
      <c r="E1448" s="28"/>
      <c r="F1448" s="28"/>
      <c r="G1448" s="28"/>
      <c r="H1448" s="28"/>
      <c r="I1448" s="28"/>
      <c r="J1448" s="28"/>
      <c r="K1448" s="28"/>
    </row>
    <row r="1449">
      <c r="A1449" s="28"/>
      <c r="B1449" s="28"/>
      <c r="C1449" s="28"/>
      <c r="D1449" s="28"/>
      <c r="E1449" s="28"/>
      <c r="F1449" s="28"/>
      <c r="G1449" s="28"/>
      <c r="H1449" s="28"/>
      <c r="I1449" s="28"/>
      <c r="J1449" s="28"/>
      <c r="K1449" s="28"/>
    </row>
    <row r="1450">
      <c r="A1450" s="28"/>
      <c r="B1450" s="28"/>
      <c r="C1450" s="28"/>
      <c r="D1450" s="28"/>
      <c r="E1450" s="28"/>
      <c r="F1450" s="28"/>
      <c r="G1450" s="28"/>
      <c r="H1450" s="28"/>
      <c r="I1450" s="28"/>
      <c r="J1450" s="28"/>
      <c r="K1450" s="28"/>
    </row>
    <row r="1451">
      <c r="A1451" s="28"/>
      <c r="B1451" s="28"/>
      <c r="C1451" s="28"/>
      <c r="D1451" s="28"/>
      <c r="E1451" s="28"/>
      <c r="F1451" s="28"/>
      <c r="G1451" s="28"/>
      <c r="H1451" s="28"/>
      <c r="I1451" s="28"/>
      <c r="J1451" s="28"/>
      <c r="K1451" s="28"/>
    </row>
    <row r="1452">
      <c r="A1452" s="28"/>
      <c r="B1452" s="28"/>
      <c r="C1452" s="28"/>
      <c r="D1452" s="28"/>
      <c r="E1452" s="28"/>
      <c r="F1452" s="28"/>
      <c r="G1452" s="28"/>
      <c r="H1452" s="28"/>
      <c r="I1452" s="28"/>
      <c r="J1452" s="28"/>
      <c r="K1452" s="28"/>
    </row>
    <row r="1453">
      <c r="A1453" s="28"/>
      <c r="B1453" s="28"/>
      <c r="C1453" s="28"/>
      <c r="D1453" s="28"/>
      <c r="E1453" s="28"/>
      <c r="F1453" s="28"/>
      <c r="G1453" s="28"/>
      <c r="H1453" s="28"/>
      <c r="I1453" s="28"/>
      <c r="J1453" s="28"/>
      <c r="K1453" s="28"/>
    </row>
    <row r="1454">
      <c r="A1454" s="28"/>
      <c r="B1454" s="28"/>
      <c r="C1454" s="28"/>
      <c r="D1454" s="28"/>
      <c r="E1454" s="28"/>
      <c r="F1454" s="28"/>
      <c r="G1454" s="28"/>
      <c r="H1454" s="28"/>
      <c r="I1454" s="28"/>
      <c r="J1454" s="28"/>
      <c r="K1454" s="28"/>
    </row>
    <row r="1455">
      <c r="A1455" s="28"/>
      <c r="B1455" s="28"/>
      <c r="C1455" s="28"/>
      <c r="D1455" s="28"/>
      <c r="E1455" s="28"/>
      <c r="F1455" s="28"/>
      <c r="G1455" s="28"/>
      <c r="H1455" s="28"/>
      <c r="I1455" s="28"/>
      <c r="J1455" s="28"/>
      <c r="K1455" s="28"/>
    </row>
    <row r="1456">
      <c r="A1456" s="28"/>
      <c r="B1456" s="28"/>
      <c r="C1456" s="28"/>
      <c r="D1456" s="28"/>
      <c r="E1456" s="28"/>
      <c r="F1456" s="28"/>
      <c r="G1456" s="28"/>
      <c r="H1456" s="28"/>
      <c r="I1456" s="28"/>
      <c r="J1456" s="28"/>
      <c r="K1456" s="28"/>
    </row>
    <row r="1457">
      <c r="A1457" s="28"/>
      <c r="B1457" s="28"/>
      <c r="C1457" s="28"/>
      <c r="D1457" s="28"/>
      <c r="E1457" s="28"/>
      <c r="F1457" s="28"/>
      <c r="G1457" s="28"/>
      <c r="H1457" s="28"/>
      <c r="I1457" s="28"/>
      <c r="J1457" s="28"/>
      <c r="K1457" s="28"/>
    </row>
    <row r="1458">
      <c r="A1458" s="28"/>
      <c r="B1458" s="28"/>
      <c r="C1458" s="28"/>
      <c r="D1458" s="28"/>
      <c r="E1458" s="28"/>
      <c r="F1458" s="28"/>
      <c r="G1458" s="28"/>
      <c r="H1458" s="28"/>
      <c r="I1458" s="28"/>
      <c r="J1458" s="28"/>
      <c r="K1458" s="28"/>
    </row>
    <row r="1459">
      <c r="A1459" s="28"/>
      <c r="B1459" s="28"/>
      <c r="C1459" s="28"/>
      <c r="D1459" s="28"/>
      <c r="E1459" s="28"/>
      <c r="F1459" s="28"/>
      <c r="G1459" s="28"/>
      <c r="H1459" s="28"/>
      <c r="I1459" s="28"/>
      <c r="J1459" s="28"/>
      <c r="K1459" s="28"/>
    </row>
    <row r="1460">
      <c r="A1460" s="28"/>
      <c r="B1460" s="28"/>
      <c r="C1460" s="28"/>
      <c r="D1460" s="28"/>
      <c r="E1460" s="28"/>
      <c r="F1460" s="28"/>
      <c r="G1460" s="28"/>
      <c r="H1460" s="28"/>
      <c r="I1460" s="28"/>
      <c r="J1460" s="28"/>
      <c r="K1460" s="28"/>
    </row>
    <row r="1461">
      <c r="A1461" s="28"/>
      <c r="B1461" s="28"/>
      <c r="C1461" s="28"/>
      <c r="D1461" s="28"/>
      <c r="E1461" s="28"/>
      <c r="F1461" s="28"/>
      <c r="G1461" s="28"/>
      <c r="H1461" s="28"/>
      <c r="I1461" s="28"/>
      <c r="J1461" s="28"/>
      <c r="K1461" s="28"/>
    </row>
    <row r="1462">
      <c r="A1462" s="28"/>
      <c r="B1462" s="28"/>
      <c r="C1462" s="28"/>
      <c r="D1462" s="28"/>
      <c r="E1462" s="28"/>
      <c r="F1462" s="28"/>
      <c r="G1462" s="28"/>
      <c r="H1462" s="28"/>
      <c r="I1462" s="28"/>
      <c r="J1462" s="28"/>
      <c r="K1462" s="28"/>
    </row>
    <row r="1463">
      <c r="A1463" s="28"/>
      <c r="B1463" s="28"/>
      <c r="C1463" s="28"/>
      <c r="D1463" s="28"/>
      <c r="E1463" s="28"/>
      <c r="F1463" s="28"/>
      <c r="G1463" s="28"/>
      <c r="H1463" s="28"/>
      <c r="I1463" s="28"/>
      <c r="J1463" s="28"/>
      <c r="K1463" s="28"/>
    </row>
    <row r="1464">
      <c r="A1464" s="28"/>
      <c r="B1464" s="28"/>
      <c r="C1464" s="28"/>
      <c r="D1464" s="28"/>
      <c r="E1464" s="28"/>
      <c r="F1464" s="28"/>
      <c r="G1464" s="28"/>
      <c r="H1464" s="28"/>
      <c r="I1464" s="28"/>
      <c r="J1464" s="28"/>
      <c r="K1464" s="28"/>
    </row>
    <row r="1465">
      <c r="A1465" s="28"/>
      <c r="B1465" s="28"/>
      <c r="C1465" s="28"/>
      <c r="D1465" s="28"/>
      <c r="E1465" s="28"/>
      <c r="F1465" s="28"/>
      <c r="G1465" s="28"/>
      <c r="H1465" s="28"/>
      <c r="I1465" s="28"/>
      <c r="J1465" s="28"/>
      <c r="K1465" s="28"/>
    </row>
    <row r="1466">
      <c r="A1466" s="28"/>
      <c r="B1466" s="28"/>
      <c r="C1466" s="28"/>
      <c r="D1466" s="28"/>
      <c r="E1466" s="28"/>
      <c r="F1466" s="28"/>
      <c r="G1466" s="28"/>
      <c r="H1466" s="28"/>
      <c r="I1466" s="28"/>
      <c r="J1466" s="28"/>
      <c r="K1466" s="28"/>
    </row>
    <row r="1467">
      <c r="A1467" s="28"/>
      <c r="B1467" s="28"/>
      <c r="C1467" s="28"/>
      <c r="D1467" s="28"/>
      <c r="E1467" s="28"/>
      <c r="F1467" s="28"/>
      <c r="G1467" s="28"/>
      <c r="H1467" s="28"/>
      <c r="I1467" s="28"/>
      <c r="J1467" s="28"/>
      <c r="K1467" s="28"/>
    </row>
    <row r="1468">
      <c r="A1468" s="28"/>
      <c r="B1468" s="28"/>
      <c r="C1468" s="28"/>
      <c r="D1468" s="28"/>
      <c r="E1468" s="28"/>
      <c r="F1468" s="28"/>
      <c r="G1468" s="28"/>
      <c r="H1468" s="28"/>
      <c r="I1468" s="28"/>
      <c r="J1468" s="28"/>
      <c r="K1468" s="28"/>
    </row>
    <row r="1469">
      <c r="A1469" s="28"/>
      <c r="B1469" s="28"/>
      <c r="C1469" s="28"/>
      <c r="D1469" s="28"/>
      <c r="E1469" s="28"/>
      <c r="F1469" s="28"/>
      <c r="G1469" s="28"/>
      <c r="H1469" s="28"/>
      <c r="I1469" s="28"/>
      <c r="J1469" s="28"/>
      <c r="K1469" s="28"/>
    </row>
    <row r="1470">
      <c r="A1470" s="28"/>
      <c r="B1470" s="28"/>
      <c r="C1470" s="28"/>
      <c r="D1470" s="28"/>
      <c r="E1470" s="28"/>
      <c r="F1470" s="28"/>
      <c r="G1470" s="28"/>
      <c r="H1470" s="28"/>
      <c r="I1470" s="28"/>
      <c r="J1470" s="28"/>
      <c r="K1470" s="28"/>
    </row>
    <row r="1471">
      <c r="A1471" s="28"/>
      <c r="B1471" s="28"/>
      <c r="C1471" s="28"/>
      <c r="D1471" s="28"/>
      <c r="E1471" s="28"/>
      <c r="F1471" s="28"/>
      <c r="G1471" s="28"/>
      <c r="H1471" s="28"/>
      <c r="I1471" s="28"/>
      <c r="J1471" s="28"/>
      <c r="K1471" s="28"/>
    </row>
    <row r="1472">
      <c r="A1472" s="28"/>
      <c r="B1472" s="28"/>
      <c r="C1472" s="28"/>
      <c r="D1472" s="28"/>
      <c r="E1472" s="28"/>
      <c r="F1472" s="28"/>
      <c r="G1472" s="28"/>
      <c r="H1472" s="28"/>
      <c r="I1472" s="28"/>
      <c r="J1472" s="28"/>
      <c r="K1472" s="28"/>
    </row>
    <row r="1473">
      <c r="A1473" s="28"/>
      <c r="B1473" s="28"/>
      <c r="C1473" s="28"/>
      <c r="D1473" s="28"/>
      <c r="E1473" s="28"/>
      <c r="F1473" s="28"/>
      <c r="G1473" s="28"/>
      <c r="H1473" s="28"/>
      <c r="I1473" s="28"/>
      <c r="J1473" s="28"/>
      <c r="K1473" s="28"/>
    </row>
    <row r="1474">
      <c r="A1474" s="28"/>
      <c r="B1474" s="28"/>
      <c r="C1474" s="28"/>
      <c r="D1474" s="28"/>
      <c r="E1474" s="28"/>
      <c r="F1474" s="28"/>
      <c r="G1474" s="28"/>
      <c r="H1474" s="28"/>
      <c r="I1474" s="28"/>
      <c r="J1474" s="28"/>
      <c r="K1474" s="28"/>
    </row>
    <row r="1475">
      <c r="A1475" s="28"/>
      <c r="B1475" s="28"/>
      <c r="C1475" s="28"/>
      <c r="D1475" s="28"/>
      <c r="E1475" s="28"/>
      <c r="F1475" s="28"/>
      <c r="G1475" s="28"/>
      <c r="H1475" s="28"/>
      <c r="I1475" s="28"/>
      <c r="J1475" s="28"/>
      <c r="K1475" s="28"/>
    </row>
    <row r="1476">
      <c r="A1476" s="28"/>
      <c r="B1476" s="28"/>
      <c r="C1476" s="28"/>
      <c r="D1476" s="28"/>
      <c r="E1476" s="28"/>
      <c r="F1476" s="28"/>
      <c r="G1476" s="28"/>
      <c r="H1476" s="28"/>
      <c r="I1476" s="28"/>
      <c r="J1476" s="28"/>
      <c r="K1476" s="28"/>
    </row>
    <row r="1477">
      <c r="A1477" s="28"/>
      <c r="B1477" s="28"/>
      <c r="C1477" s="28"/>
      <c r="D1477" s="28"/>
      <c r="E1477" s="28"/>
      <c r="F1477" s="28"/>
      <c r="G1477" s="28"/>
      <c r="H1477" s="28"/>
      <c r="I1477" s="28"/>
      <c r="J1477" s="28"/>
      <c r="K1477" s="28"/>
    </row>
    <row r="1478">
      <c r="A1478" s="28"/>
      <c r="B1478" s="28"/>
      <c r="C1478" s="28"/>
      <c r="D1478" s="28"/>
      <c r="E1478" s="28"/>
      <c r="F1478" s="28"/>
      <c r="G1478" s="28"/>
      <c r="H1478" s="28"/>
      <c r="I1478" s="28"/>
      <c r="J1478" s="28"/>
      <c r="K1478" s="28"/>
    </row>
    <row r="1479">
      <c r="A1479" s="28"/>
      <c r="B1479" s="28"/>
      <c r="C1479" s="28"/>
      <c r="D1479" s="28"/>
      <c r="E1479" s="28"/>
      <c r="F1479" s="28"/>
      <c r="G1479" s="28"/>
      <c r="H1479" s="28"/>
      <c r="I1479" s="28"/>
      <c r="J1479" s="28"/>
      <c r="K1479" s="28"/>
    </row>
    <row r="1480">
      <c r="A1480" s="28"/>
      <c r="B1480" s="28"/>
      <c r="C1480" s="28"/>
      <c r="D1480" s="28"/>
      <c r="E1480" s="28"/>
      <c r="F1480" s="28"/>
      <c r="G1480" s="28"/>
      <c r="H1480" s="28"/>
      <c r="I1480" s="28"/>
      <c r="J1480" s="28"/>
      <c r="K1480" s="28"/>
    </row>
    <row r="1481">
      <c r="A1481" s="28"/>
      <c r="B1481" s="28"/>
      <c r="C1481" s="28"/>
      <c r="D1481" s="28"/>
      <c r="E1481" s="28"/>
      <c r="F1481" s="28"/>
      <c r="G1481" s="28"/>
      <c r="H1481" s="28"/>
      <c r="I1481" s="28"/>
      <c r="J1481" s="28"/>
      <c r="K1481" s="28"/>
    </row>
    <row r="1482">
      <c r="A1482" s="28"/>
      <c r="B1482" s="28"/>
      <c r="C1482" s="28"/>
      <c r="D1482" s="28"/>
      <c r="E1482" s="28"/>
      <c r="F1482" s="28"/>
      <c r="G1482" s="28"/>
      <c r="H1482" s="28"/>
      <c r="I1482" s="28"/>
      <c r="J1482" s="28"/>
      <c r="K1482" s="28"/>
    </row>
    <row r="1483">
      <c r="A1483" s="28"/>
      <c r="B1483" s="28"/>
      <c r="C1483" s="28"/>
      <c r="D1483" s="28"/>
      <c r="E1483" s="28"/>
      <c r="F1483" s="28"/>
      <c r="G1483" s="28"/>
      <c r="H1483" s="28"/>
      <c r="I1483" s="28"/>
      <c r="J1483" s="28"/>
      <c r="K1483" s="28"/>
    </row>
    <row r="1484">
      <c r="A1484" s="28"/>
      <c r="B1484" s="28"/>
      <c r="C1484" s="28"/>
      <c r="D1484" s="28"/>
      <c r="E1484" s="28"/>
      <c r="F1484" s="28"/>
      <c r="G1484" s="28"/>
      <c r="H1484" s="28"/>
      <c r="I1484" s="28"/>
      <c r="J1484" s="28"/>
      <c r="K1484" s="28"/>
    </row>
    <row r="1485">
      <c r="A1485" s="28"/>
      <c r="B1485" s="28"/>
      <c r="C1485" s="28"/>
      <c r="D1485" s="28"/>
      <c r="E1485" s="28"/>
      <c r="F1485" s="28"/>
      <c r="G1485" s="28"/>
      <c r="H1485" s="28"/>
      <c r="I1485" s="28"/>
      <c r="J1485" s="28"/>
      <c r="K1485" s="28"/>
    </row>
    <row r="1486">
      <c r="A1486" s="28"/>
      <c r="B1486" s="28"/>
      <c r="C1486" s="28"/>
      <c r="D1486" s="28"/>
      <c r="E1486" s="28"/>
      <c r="F1486" s="28"/>
      <c r="G1486" s="28"/>
      <c r="H1486" s="28"/>
      <c r="I1486" s="28"/>
      <c r="J1486" s="28"/>
      <c r="K1486" s="28"/>
    </row>
    <row r="1487">
      <c r="A1487" s="28"/>
      <c r="B1487" s="28"/>
      <c r="C1487" s="28"/>
      <c r="D1487" s="28"/>
      <c r="E1487" s="28"/>
      <c r="F1487" s="28"/>
      <c r="G1487" s="28"/>
      <c r="H1487" s="28"/>
      <c r="I1487" s="28"/>
      <c r="J1487" s="28"/>
      <c r="K1487" s="28"/>
    </row>
    <row r="1488">
      <c r="A1488" s="28"/>
      <c r="B1488" s="28"/>
      <c r="C1488" s="28"/>
      <c r="D1488" s="28"/>
      <c r="E1488" s="28"/>
      <c r="F1488" s="28"/>
      <c r="G1488" s="28"/>
      <c r="H1488" s="28"/>
      <c r="I1488" s="28"/>
      <c r="J1488" s="28"/>
      <c r="K1488" s="28"/>
    </row>
    <row r="1489">
      <c r="A1489" s="28"/>
      <c r="B1489" s="28"/>
      <c r="C1489" s="28"/>
      <c r="D1489" s="28"/>
      <c r="E1489" s="28"/>
      <c r="F1489" s="28"/>
      <c r="G1489" s="28"/>
      <c r="H1489" s="28"/>
      <c r="I1489" s="28"/>
      <c r="J1489" s="28"/>
      <c r="K1489" s="28"/>
    </row>
    <row r="1490">
      <c r="A1490" s="28"/>
      <c r="B1490" s="28"/>
      <c r="C1490" s="28"/>
      <c r="D1490" s="28"/>
      <c r="E1490" s="28"/>
      <c r="F1490" s="28"/>
      <c r="G1490" s="28"/>
      <c r="H1490" s="28"/>
      <c r="I1490" s="28"/>
      <c r="J1490" s="28"/>
      <c r="K1490" s="28"/>
    </row>
    <row r="1491">
      <c r="A1491" s="28"/>
      <c r="B1491" s="28"/>
      <c r="C1491" s="28"/>
      <c r="D1491" s="28"/>
      <c r="E1491" s="28"/>
      <c r="F1491" s="28"/>
      <c r="G1491" s="28"/>
      <c r="H1491" s="28"/>
      <c r="I1491" s="28"/>
      <c r="J1491" s="28"/>
      <c r="K1491" s="28"/>
    </row>
    <row r="1492">
      <c r="A1492" s="28"/>
      <c r="B1492" s="28"/>
      <c r="C1492" s="28"/>
      <c r="D1492" s="28"/>
      <c r="E1492" s="28"/>
      <c r="F1492" s="28"/>
      <c r="G1492" s="28"/>
      <c r="H1492" s="28"/>
      <c r="I1492" s="28"/>
      <c r="J1492" s="28"/>
      <c r="K1492" s="28"/>
    </row>
    <row r="1493">
      <c r="A1493" s="28"/>
      <c r="B1493" s="28"/>
      <c r="C1493" s="28"/>
      <c r="D1493" s="28"/>
      <c r="E1493" s="28"/>
      <c r="F1493" s="28"/>
      <c r="G1493" s="28"/>
      <c r="H1493" s="28"/>
      <c r="I1493" s="28"/>
      <c r="J1493" s="28"/>
      <c r="K1493" s="28"/>
    </row>
    <row r="1494">
      <c r="A1494" s="28"/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</row>
    <row r="1495">
      <c r="A1495" s="28"/>
      <c r="B1495" s="28"/>
      <c r="C1495" s="28"/>
      <c r="D1495" s="28"/>
      <c r="E1495" s="28"/>
      <c r="F1495" s="28"/>
      <c r="G1495" s="28"/>
      <c r="H1495" s="28"/>
      <c r="I1495" s="28"/>
      <c r="J1495" s="28"/>
      <c r="K1495" s="28"/>
    </row>
    <row r="1496">
      <c r="A1496" s="28"/>
      <c r="B1496" s="28"/>
      <c r="C1496" s="28"/>
      <c r="D1496" s="28"/>
      <c r="E1496" s="28"/>
      <c r="F1496" s="28"/>
      <c r="G1496" s="28"/>
      <c r="H1496" s="28"/>
      <c r="I1496" s="28"/>
      <c r="J1496" s="28"/>
      <c r="K1496" s="28"/>
    </row>
    <row r="1497">
      <c r="A1497" s="28"/>
      <c r="B1497" s="28"/>
      <c r="C1497" s="28"/>
      <c r="D1497" s="28"/>
      <c r="E1497" s="28"/>
      <c r="F1497" s="28"/>
      <c r="G1497" s="28"/>
      <c r="H1497" s="28"/>
      <c r="I1497" s="28"/>
      <c r="J1497" s="28"/>
      <c r="K1497" s="28"/>
    </row>
    <row r="1498">
      <c r="A1498" s="28"/>
      <c r="B1498" s="28"/>
      <c r="C1498" s="28"/>
      <c r="D1498" s="28"/>
      <c r="E1498" s="28"/>
      <c r="F1498" s="28"/>
      <c r="G1498" s="28"/>
      <c r="H1498" s="28"/>
      <c r="I1498" s="28"/>
      <c r="J1498" s="28"/>
      <c r="K1498" s="28"/>
    </row>
    <row r="1499">
      <c r="A1499" s="28"/>
      <c r="B1499" s="28"/>
      <c r="C1499" s="28"/>
      <c r="D1499" s="28"/>
      <c r="E1499" s="28"/>
      <c r="F1499" s="28"/>
      <c r="G1499" s="28"/>
      <c r="H1499" s="28"/>
      <c r="I1499" s="28"/>
      <c r="J1499" s="28"/>
      <c r="K1499" s="28"/>
    </row>
    <row r="1500">
      <c r="A1500" s="28"/>
      <c r="B1500" s="28"/>
      <c r="C1500" s="28"/>
      <c r="D1500" s="28"/>
      <c r="E1500" s="28"/>
      <c r="F1500" s="28"/>
      <c r="G1500" s="28"/>
      <c r="H1500" s="28"/>
      <c r="I1500" s="28"/>
      <c r="J1500" s="28"/>
      <c r="K1500" s="28"/>
    </row>
    <row r="1501">
      <c r="A1501" s="28"/>
      <c r="B1501" s="28"/>
      <c r="C1501" s="28"/>
      <c r="D1501" s="28"/>
      <c r="E1501" s="28"/>
      <c r="F1501" s="28"/>
      <c r="G1501" s="28"/>
      <c r="H1501" s="28"/>
      <c r="I1501" s="28"/>
      <c r="J1501" s="28"/>
      <c r="K1501" s="28"/>
    </row>
    <row r="1502">
      <c r="A1502" s="28"/>
      <c r="B1502" s="28"/>
      <c r="C1502" s="28"/>
      <c r="D1502" s="28"/>
      <c r="E1502" s="28"/>
      <c r="F1502" s="28"/>
      <c r="G1502" s="28"/>
      <c r="H1502" s="28"/>
      <c r="I1502" s="28"/>
      <c r="J1502" s="28"/>
      <c r="K1502" s="28"/>
    </row>
    <row r="1503">
      <c r="A1503" s="28"/>
      <c r="B1503" s="28"/>
      <c r="C1503" s="28"/>
      <c r="D1503" s="28"/>
      <c r="E1503" s="28"/>
      <c r="F1503" s="28"/>
      <c r="G1503" s="28"/>
      <c r="H1503" s="28"/>
      <c r="I1503" s="28"/>
      <c r="J1503" s="28"/>
      <c r="K1503" s="28"/>
    </row>
    <row r="1504">
      <c r="A1504" s="28"/>
      <c r="B1504" s="28"/>
      <c r="C1504" s="28"/>
      <c r="D1504" s="28"/>
      <c r="E1504" s="28"/>
      <c r="F1504" s="28"/>
      <c r="G1504" s="28"/>
      <c r="H1504" s="28"/>
      <c r="I1504" s="28"/>
      <c r="J1504" s="28"/>
      <c r="K1504" s="28"/>
    </row>
    <row r="1505">
      <c r="A1505" s="28"/>
      <c r="B1505" s="28"/>
      <c r="C1505" s="28"/>
      <c r="D1505" s="28"/>
      <c r="E1505" s="28"/>
      <c r="F1505" s="28"/>
      <c r="G1505" s="28"/>
      <c r="H1505" s="28"/>
      <c r="I1505" s="28"/>
      <c r="J1505" s="28"/>
      <c r="K1505" s="28"/>
    </row>
    <row r="1506">
      <c r="A1506" s="28"/>
      <c r="B1506" s="28"/>
      <c r="C1506" s="28"/>
      <c r="D1506" s="28"/>
      <c r="E1506" s="28"/>
      <c r="F1506" s="28"/>
      <c r="G1506" s="28"/>
      <c r="H1506" s="28"/>
      <c r="I1506" s="28"/>
      <c r="J1506" s="28"/>
      <c r="K1506" s="28"/>
    </row>
    <row r="1507">
      <c r="A1507" s="28"/>
      <c r="B1507" s="28"/>
      <c r="C1507" s="28"/>
      <c r="D1507" s="28"/>
      <c r="E1507" s="28"/>
      <c r="F1507" s="28"/>
      <c r="G1507" s="28"/>
      <c r="H1507" s="28"/>
      <c r="I1507" s="28"/>
      <c r="J1507" s="28"/>
      <c r="K1507" s="28"/>
    </row>
    <row r="1508">
      <c r="A1508" s="28"/>
      <c r="B1508" s="28"/>
      <c r="C1508" s="28"/>
      <c r="D1508" s="28"/>
      <c r="E1508" s="28"/>
      <c r="F1508" s="28"/>
      <c r="G1508" s="28"/>
      <c r="H1508" s="28"/>
      <c r="I1508" s="28"/>
      <c r="J1508" s="28"/>
      <c r="K1508" s="28"/>
    </row>
    <row r="1509">
      <c r="A1509" s="28"/>
      <c r="B1509" s="28"/>
      <c r="C1509" s="28"/>
      <c r="D1509" s="28"/>
      <c r="E1509" s="28"/>
      <c r="F1509" s="28"/>
      <c r="G1509" s="28"/>
      <c r="H1509" s="28"/>
      <c r="I1509" s="28"/>
      <c r="J1509" s="28"/>
      <c r="K1509" s="28"/>
    </row>
    <row r="1510">
      <c r="A1510" s="28"/>
      <c r="B1510" s="28"/>
      <c r="C1510" s="28"/>
      <c r="D1510" s="28"/>
      <c r="E1510" s="28"/>
      <c r="F1510" s="28"/>
      <c r="G1510" s="28"/>
      <c r="H1510" s="28"/>
      <c r="I1510" s="28"/>
      <c r="J1510" s="28"/>
      <c r="K1510" s="28"/>
    </row>
    <row r="1511">
      <c r="A1511" s="28"/>
      <c r="B1511" s="28"/>
      <c r="C1511" s="28"/>
      <c r="D1511" s="28"/>
      <c r="E1511" s="28"/>
      <c r="F1511" s="28"/>
      <c r="G1511" s="28"/>
      <c r="H1511" s="28"/>
      <c r="I1511" s="28"/>
      <c r="J1511" s="28"/>
      <c r="K1511" s="28"/>
    </row>
    <row r="1512">
      <c r="A1512" s="28"/>
      <c r="B1512" s="28"/>
      <c r="C1512" s="28"/>
      <c r="D1512" s="28"/>
      <c r="E1512" s="28"/>
      <c r="F1512" s="28"/>
      <c r="G1512" s="28"/>
      <c r="H1512" s="28"/>
      <c r="I1512" s="28"/>
      <c r="J1512" s="28"/>
      <c r="K1512" s="28"/>
    </row>
    <row r="1513">
      <c r="A1513" s="28"/>
      <c r="B1513" s="28"/>
      <c r="C1513" s="28"/>
      <c r="D1513" s="28"/>
      <c r="E1513" s="28"/>
      <c r="F1513" s="28"/>
      <c r="G1513" s="28"/>
      <c r="H1513" s="28"/>
      <c r="I1513" s="28"/>
      <c r="J1513" s="28"/>
      <c r="K1513" s="28"/>
    </row>
    <row r="1514">
      <c r="A1514" s="28"/>
      <c r="B1514" s="28"/>
      <c r="C1514" s="28"/>
      <c r="D1514" s="28"/>
      <c r="E1514" s="28"/>
      <c r="F1514" s="28"/>
      <c r="G1514" s="28"/>
      <c r="H1514" s="28"/>
      <c r="I1514" s="28"/>
      <c r="J1514" s="28"/>
      <c r="K1514" s="28"/>
    </row>
    <row r="1515">
      <c r="A1515" s="28"/>
      <c r="B1515" s="28"/>
      <c r="C1515" s="28"/>
      <c r="D1515" s="28"/>
      <c r="E1515" s="28"/>
      <c r="F1515" s="28"/>
      <c r="G1515" s="28"/>
      <c r="H1515" s="28"/>
      <c r="I1515" s="28"/>
      <c r="J1515" s="28"/>
      <c r="K1515" s="28"/>
    </row>
    <row r="1516">
      <c r="A1516" s="28"/>
      <c r="B1516" s="28"/>
      <c r="C1516" s="28"/>
      <c r="D1516" s="28"/>
      <c r="E1516" s="28"/>
      <c r="F1516" s="28"/>
      <c r="G1516" s="28"/>
      <c r="H1516" s="28"/>
      <c r="I1516" s="28"/>
      <c r="J1516" s="28"/>
      <c r="K1516" s="28"/>
    </row>
    <row r="1517">
      <c r="A1517" s="28"/>
      <c r="B1517" s="28"/>
      <c r="C1517" s="28"/>
      <c r="D1517" s="28"/>
      <c r="E1517" s="28"/>
      <c r="F1517" s="28"/>
      <c r="G1517" s="28"/>
      <c r="H1517" s="28"/>
      <c r="I1517" s="28"/>
      <c r="J1517" s="28"/>
      <c r="K1517" s="28"/>
    </row>
    <row r="1518">
      <c r="A1518" s="28"/>
      <c r="B1518" s="28"/>
      <c r="C1518" s="28"/>
      <c r="D1518" s="28"/>
      <c r="E1518" s="28"/>
      <c r="F1518" s="28"/>
      <c r="G1518" s="28"/>
      <c r="H1518" s="28"/>
      <c r="I1518" s="28"/>
      <c r="J1518" s="28"/>
      <c r="K1518" s="28"/>
    </row>
    <row r="1519">
      <c r="A1519" s="28"/>
      <c r="B1519" s="28"/>
      <c r="C1519" s="28"/>
      <c r="D1519" s="28"/>
      <c r="E1519" s="28"/>
      <c r="F1519" s="28"/>
      <c r="G1519" s="28"/>
      <c r="H1519" s="28"/>
      <c r="I1519" s="28"/>
      <c r="J1519" s="28"/>
      <c r="K1519" s="28"/>
    </row>
    <row r="1520">
      <c r="A1520" s="28"/>
      <c r="B1520" s="28"/>
      <c r="C1520" s="28"/>
      <c r="D1520" s="28"/>
      <c r="E1520" s="28"/>
      <c r="F1520" s="28"/>
      <c r="G1520" s="28"/>
      <c r="H1520" s="28"/>
      <c r="I1520" s="28"/>
      <c r="J1520" s="28"/>
      <c r="K1520" s="28"/>
    </row>
    <row r="1521">
      <c r="A1521" s="28"/>
      <c r="B1521" s="28"/>
      <c r="C1521" s="28"/>
      <c r="D1521" s="28"/>
      <c r="E1521" s="28"/>
      <c r="F1521" s="28"/>
      <c r="G1521" s="28"/>
      <c r="H1521" s="28"/>
      <c r="I1521" s="28"/>
      <c r="J1521" s="28"/>
      <c r="K1521" s="28"/>
    </row>
    <row r="1522">
      <c r="A1522" s="28"/>
      <c r="B1522" s="28"/>
      <c r="C1522" s="28"/>
      <c r="D1522" s="28"/>
      <c r="E1522" s="28"/>
      <c r="F1522" s="28"/>
      <c r="G1522" s="28"/>
      <c r="H1522" s="28"/>
      <c r="I1522" s="28"/>
      <c r="J1522" s="28"/>
      <c r="K1522" s="28"/>
    </row>
    <row r="1523">
      <c r="A1523" s="28"/>
      <c r="B1523" s="28"/>
      <c r="C1523" s="28"/>
      <c r="D1523" s="28"/>
      <c r="E1523" s="28"/>
      <c r="F1523" s="28"/>
      <c r="G1523" s="28"/>
      <c r="H1523" s="28"/>
      <c r="I1523" s="28"/>
      <c r="J1523" s="28"/>
      <c r="K1523" s="28"/>
    </row>
    <row r="1524">
      <c r="A1524" s="28"/>
      <c r="B1524" s="28"/>
      <c r="C1524" s="28"/>
      <c r="D1524" s="28"/>
      <c r="E1524" s="28"/>
      <c r="F1524" s="28"/>
      <c r="G1524" s="28"/>
      <c r="H1524" s="28"/>
      <c r="I1524" s="28"/>
      <c r="J1524" s="28"/>
      <c r="K1524" s="28"/>
    </row>
    <row r="1525">
      <c r="A1525" s="28"/>
      <c r="B1525" s="28"/>
      <c r="C1525" s="28"/>
      <c r="D1525" s="28"/>
      <c r="E1525" s="28"/>
      <c r="F1525" s="28"/>
      <c r="G1525" s="28"/>
      <c r="H1525" s="28"/>
      <c r="I1525" s="28"/>
      <c r="J1525" s="28"/>
      <c r="K1525" s="28"/>
    </row>
    <row r="1526">
      <c r="A1526" s="28"/>
      <c r="B1526" s="28"/>
      <c r="C1526" s="28"/>
      <c r="D1526" s="28"/>
      <c r="E1526" s="28"/>
      <c r="F1526" s="28"/>
      <c r="G1526" s="28"/>
      <c r="H1526" s="28"/>
      <c r="I1526" s="28"/>
      <c r="J1526" s="28"/>
      <c r="K1526" s="28"/>
    </row>
    <row r="1527">
      <c r="A1527" s="28"/>
      <c r="B1527" s="28"/>
      <c r="C1527" s="28"/>
      <c r="D1527" s="28"/>
      <c r="E1527" s="28"/>
      <c r="F1527" s="28"/>
      <c r="G1527" s="28"/>
      <c r="H1527" s="28"/>
      <c r="I1527" s="28"/>
      <c r="J1527" s="28"/>
      <c r="K1527" s="28"/>
    </row>
    <row r="1528">
      <c r="A1528" s="28"/>
      <c r="B1528" s="28"/>
      <c r="C1528" s="28"/>
      <c r="D1528" s="28"/>
      <c r="E1528" s="28"/>
      <c r="F1528" s="28"/>
      <c r="G1528" s="28"/>
      <c r="H1528" s="28"/>
      <c r="I1528" s="28"/>
      <c r="J1528" s="28"/>
      <c r="K1528" s="28"/>
    </row>
    <row r="1529">
      <c r="A1529" s="28"/>
      <c r="B1529" s="28"/>
      <c r="C1529" s="28"/>
      <c r="D1529" s="28"/>
      <c r="E1529" s="28"/>
      <c r="F1529" s="28"/>
      <c r="G1529" s="28"/>
      <c r="H1529" s="28"/>
      <c r="I1529" s="28"/>
      <c r="J1529" s="28"/>
      <c r="K1529" s="28"/>
    </row>
    <row r="1530">
      <c r="A1530" s="28"/>
      <c r="B1530" s="28"/>
      <c r="C1530" s="28"/>
      <c r="D1530" s="28"/>
      <c r="E1530" s="28"/>
      <c r="F1530" s="28"/>
      <c r="G1530" s="28"/>
      <c r="H1530" s="28"/>
      <c r="I1530" s="28"/>
      <c r="J1530" s="28"/>
      <c r="K1530" s="28"/>
    </row>
    <row r="1531">
      <c r="A1531" s="28"/>
      <c r="B1531" s="28"/>
      <c r="C1531" s="28"/>
      <c r="D1531" s="28"/>
      <c r="E1531" s="28"/>
      <c r="F1531" s="28"/>
      <c r="G1531" s="28"/>
      <c r="H1531" s="28"/>
      <c r="I1531" s="28"/>
      <c r="J1531" s="28"/>
      <c r="K1531" s="28"/>
    </row>
    <row r="1532">
      <c r="A1532" s="28"/>
      <c r="B1532" s="28"/>
      <c r="C1532" s="28"/>
      <c r="D1532" s="28"/>
      <c r="E1532" s="28"/>
      <c r="F1532" s="28"/>
      <c r="G1532" s="28"/>
      <c r="H1532" s="28"/>
      <c r="I1532" s="28"/>
      <c r="J1532" s="28"/>
      <c r="K1532" s="28"/>
    </row>
    <row r="1533">
      <c r="A1533" s="28"/>
      <c r="B1533" s="28"/>
      <c r="C1533" s="28"/>
      <c r="D1533" s="28"/>
      <c r="E1533" s="28"/>
      <c r="F1533" s="28"/>
      <c r="G1533" s="28"/>
      <c r="H1533" s="28"/>
      <c r="I1533" s="28"/>
      <c r="J1533" s="28"/>
      <c r="K1533" s="28"/>
    </row>
    <row r="1534">
      <c r="A1534" s="28"/>
      <c r="B1534" s="28"/>
      <c r="C1534" s="28"/>
      <c r="D1534" s="28"/>
      <c r="E1534" s="28"/>
      <c r="F1534" s="28"/>
      <c r="G1534" s="28"/>
      <c r="H1534" s="28"/>
      <c r="I1534" s="28"/>
      <c r="J1534" s="28"/>
      <c r="K1534" s="28"/>
    </row>
    <row r="1535">
      <c r="A1535" s="28"/>
      <c r="B1535" s="28"/>
      <c r="C1535" s="28"/>
      <c r="D1535" s="28"/>
      <c r="E1535" s="28"/>
      <c r="F1535" s="28"/>
      <c r="G1535" s="28"/>
      <c r="H1535" s="28"/>
      <c r="I1535" s="28"/>
      <c r="J1535" s="28"/>
      <c r="K1535" s="28"/>
    </row>
    <row r="1536">
      <c r="A1536" s="28"/>
      <c r="B1536" s="28"/>
      <c r="C1536" s="28"/>
      <c r="D1536" s="28"/>
      <c r="E1536" s="28"/>
      <c r="F1536" s="28"/>
      <c r="G1536" s="28"/>
      <c r="H1536" s="28"/>
      <c r="I1536" s="28"/>
      <c r="J1536" s="28"/>
      <c r="K1536" s="28"/>
    </row>
    <row r="1537">
      <c r="A1537" s="28"/>
      <c r="B1537" s="28"/>
      <c r="C1537" s="28"/>
      <c r="D1537" s="28"/>
      <c r="E1537" s="28"/>
      <c r="F1537" s="28"/>
      <c r="G1537" s="28"/>
      <c r="H1537" s="28"/>
      <c r="I1537" s="28"/>
      <c r="J1537" s="28"/>
      <c r="K1537" s="28"/>
    </row>
    <row r="1538">
      <c r="A1538" s="28"/>
      <c r="B1538" s="28"/>
      <c r="C1538" s="28"/>
      <c r="D1538" s="28"/>
      <c r="E1538" s="28"/>
      <c r="F1538" s="28"/>
      <c r="G1538" s="28"/>
      <c r="H1538" s="28"/>
      <c r="I1538" s="28"/>
      <c r="J1538" s="28"/>
      <c r="K1538" s="28"/>
    </row>
    <row r="1539">
      <c r="A1539" s="28"/>
      <c r="B1539" s="28"/>
      <c r="C1539" s="28"/>
      <c r="D1539" s="28"/>
      <c r="E1539" s="28"/>
      <c r="F1539" s="28"/>
      <c r="G1539" s="28"/>
      <c r="H1539" s="28"/>
      <c r="I1539" s="28"/>
      <c r="J1539" s="28"/>
      <c r="K1539" s="28"/>
    </row>
    <row r="1540">
      <c r="A1540" s="28"/>
      <c r="B1540" s="28"/>
      <c r="C1540" s="28"/>
      <c r="D1540" s="28"/>
      <c r="E1540" s="28"/>
      <c r="F1540" s="28"/>
      <c r="G1540" s="28"/>
      <c r="H1540" s="28"/>
      <c r="I1540" s="28"/>
      <c r="J1540" s="28"/>
      <c r="K1540" s="28"/>
    </row>
    <row r="1541">
      <c r="A1541" s="28"/>
      <c r="B1541" s="28"/>
      <c r="C1541" s="28"/>
      <c r="D1541" s="28"/>
      <c r="E1541" s="28"/>
      <c r="F1541" s="28"/>
      <c r="G1541" s="28"/>
      <c r="H1541" s="28"/>
      <c r="I1541" s="28"/>
      <c r="J1541" s="28"/>
      <c r="K1541" s="28"/>
    </row>
    <row r="1542">
      <c r="A1542" s="28"/>
      <c r="B1542" s="28"/>
      <c r="C1542" s="28"/>
      <c r="D1542" s="28"/>
      <c r="E1542" s="28"/>
      <c r="F1542" s="28"/>
      <c r="G1542" s="28"/>
      <c r="H1542" s="28"/>
      <c r="I1542" s="28"/>
      <c r="J1542" s="28"/>
      <c r="K1542" s="28"/>
    </row>
    <row r="1543">
      <c r="A1543" s="28"/>
      <c r="B1543" s="28"/>
      <c r="C1543" s="28"/>
      <c r="D1543" s="28"/>
      <c r="E1543" s="28"/>
      <c r="F1543" s="28"/>
      <c r="G1543" s="28"/>
      <c r="H1543" s="28"/>
      <c r="I1543" s="28"/>
      <c r="J1543" s="28"/>
      <c r="K1543" s="28"/>
    </row>
    <row r="1544">
      <c r="A1544" s="28"/>
      <c r="B1544" s="28"/>
      <c r="C1544" s="28"/>
      <c r="D1544" s="28"/>
      <c r="E1544" s="28"/>
      <c r="F1544" s="28"/>
      <c r="G1544" s="28"/>
      <c r="H1544" s="28"/>
      <c r="I1544" s="28"/>
      <c r="J1544" s="28"/>
      <c r="K1544" s="28"/>
    </row>
    <row r="1545">
      <c r="A1545" s="28"/>
      <c r="B1545" s="28"/>
      <c r="C1545" s="28"/>
      <c r="D1545" s="28"/>
      <c r="E1545" s="28"/>
      <c r="F1545" s="28"/>
      <c r="G1545" s="28"/>
      <c r="H1545" s="28"/>
      <c r="I1545" s="28"/>
      <c r="J1545" s="28"/>
      <c r="K1545" s="28"/>
    </row>
    <row r="1546">
      <c r="A1546" s="28"/>
      <c r="B1546" s="28"/>
      <c r="C1546" s="28"/>
      <c r="D1546" s="28"/>
      <c r="E1546" s="28"/>
      <c r="F1546" s="28"/>
      <c r="G1546" s="28"/>
      <c r="H1546" s="28"/>
      <c r="I1546" s="28"/>
      <c r="J1546" s="28"/>
      <c r="K1546" s="28"/>
    </row>
    <row r="1547">
      <c r="A1547" s="28"/>
      <c r="B1547" s="28"/>
      <c r="C1547" s="28"/>
      <c r="D1547" s="28"/>
      <c r="E1547" s="28"/>
      <c r="F1547" s="28"/>
      <c r="G1547" s="28"/>
      <c r="H1547" s="28"/>
      <c r="I1547" s="28"/>
      <c r="J1547" s="28"/>
      <c r="K1547" s="28"/>
    </row>
    <row r="1548">
      <c r="A1548" s="28"/>
      <c r="B1548" s="28"/>
      <c r="C1548" s="28"/>
      <c r="D1548" s="28"/>
      <c r="E1548" s="28"/>
      <c r="F1548" s="28"/>
      <c r="G1548" s="28"/>
      <c r="H1548" s="28"/>
      <c r="I1548" s="28"/>
      <c r="J1548" s="28"/>
      <c r="K1548" s="28"/>
    </row>
    <row r="1549">
      <c r="A1549" s="28"/>
      <c r="B1549" s="28"/>
      <c r="C1549" s="28"/>
      <c r="D1549" s="28"/>
      <c r="E1549" s="28"/>
      <c r="F1549" s="28"/>
      <c r="G1549" s="28"/>
      <c r="H1549" s="28"/>
      <c r="I1549" s="28"/>
      <c r="J1549" s="28"/>
      <c r="K1549" s="28"/>
    </row>
    <row r="1550">
      <c r="A1550" s="28"/>
      <c r="B1550" s="28"/>
      <c r="C1550" s="28"/>
      <c r="D1550" s="28"/>
      <c r="E1550" s="28"/>
      <c r="F1550" s="28"/>
      <c r="G1550" s="28"/>
      <c r="H1550" s="28"/>
      <c r="I1550" s="28"/>
      <c r="J1550" s="28"/>
      <c r="K1550" s="28"/>
    </row>
    <row r="1551">
      <c r="A1551" s="28"/>
      <c r="B1551" s="28"/>
      <c r="C1551" s="28"/>
      <c r="D1551" s="28"/>
      <c r="E1551" s="28"/>
      <c r="F1551" s="28"/>
      <c r="G1551" s="28"/>
      <c r="H1551" s="28"/>
      <c r="I1551" s="28"/>
      <c r="J1551" s="28"/>
      <c r="K1551" s="28"/>
    </row>
    <row r="1552">
      <c r="A1552" s="28"/>
      <c r="B1552" s="28"/>
      <c r="C1552" s="28"/>
      <c r="D1552" s="28"/>
      <c r="E1552" s="28"/>
      <c r="F1552" s="28"/>
      <c r="G1552" s="28"/>
      <c r="H1552" s="28"/>
      <c r="I1552" s="28"/>
      <c r="J1552" s="28"/>
      <c r="K1552" s="28"/>
    </row>
    <row r="1553">
      <c r="A1553" s="28"/>
      <c r="B1553" s="28"/>
      <c r="C1553" s="28"/>
      <c r="D1553" s="28"/>
      <c r="E1553" s="28"/>
      <c r="F1553" s="28"/>
      <c r="G1553" s="28"/>
      <c r="H1553" s="28"/>
      <c r="I1553" s="28"/>
      <c r="J1553" s="28"/>
      <c r="K1553" s="28"/>
    </row>
    <row r="1554">
      <c r="A1554" s="28"/>
      <c r="B1554" s="28"/>
      <c r="C1554" s="28"/>
      <c r="D1554" s="28"/>
      <c r="E1554" s="28"/>
      <c r="F1554" s="28"/>
      <c r="G1554" s="28"/>
      <c r="H1554" s="28"/>
      <c r="I1554" s="28"/>
      <c r="J1554" s="28"/>
      <c r="K1554" s="28"/>
    </row>
    <row r="1555">
      <c r="A1555" s="28"/>
      <c r="B1555" s="28"/>
      <c r="C1555" s="28"/>
      <c r="D1555" s="28"/>
      <c r="E1555" s="28"/>
      <c r="F1555" s="28"/>
      <c r="G1555" s="28"/>
      <c r="H1555" s="28"/>
      <c r="I1555" s="28"/>
      <c r="J1555" s="28"/>
      <c r="K1555" s="28"/>
    </row>
    <row r="1556">
      <c r="A1556" s="28"/>
      <c r="B1556" s="28"/>
      <c r="C1556" s="28"/>
      <c r="D1556" s="28"/>
      <c r="E1556" s="28"/>
      <c r="F1556" s="28"/>
      <c r="G1556" s="28"/>
      <c r="H1556" s="28"/>
      <c r="I1556" s="28"/>
      <c r="J1556" s="28"/>
      <c r="K1556" s="28"/>
    </row>
    <row r="1557">
      <c r="A1557" s="28"/>
      <c r="B1557" s="28"/>
      <c r="C1557" s="28"/>
      <c r="D1557" s="28"/>
      <c r="E1557" s="28"/>
      <c r="F1557" s="28"/>
      <c r="G1557" s="28"/>
      <c r="H1557" s="28"/>
      <c r="I1557" s="28"/>
      <c r="J1557" s="28"/>
      <c r="K1557" s="28"/>
    </row>
    <row r="1558">
      <c r="A1558" s="28"/>
      <c r="B1558" s="28"/>
      <c r="C1558" s="28"/>
      <c r="D1558" s="28"/>
      <c r="E1558" s="28"/>
      <c r="F1558" s="28"/>
      <c r="G1558" s="28"/>
      <c r="H1558" s="28"/>
      <c r="I1558" s="28"/>
      <c r="J1558" s="28"/>
      <c r="K1558" s="28"/>
    </row>
    <row r="1559">
      <c r="A1559" s="28"/>
      <c r="B1559" s="28"/>
      <c r="C1559" s="28"/>
      <c r="D1559" s="28"/>
      <c r="E1559" s="28"/>
      <c r="F1559" s="28"/>
      <c r="G1559" s="28"/>
      <c r="H1559" s="28"/>
      <c r="I1559" s="28"/>
      <c r="J1559" s="28"/>
      <c r="K1559" s="28"/>
    </row>
    <row r="1560">
      <c r="A1560" s="28"/>
      <c r="B1560" s="28"/>
      <c r="C1560" s="28"/>
      <c r="D1560" s="28"/>
      <c r="E1560" s="28"/>
      <c r="F1560" s="28"/>
      <c r="G1560" s="28"/>
      <c r="H1560" s="28"/>
      <c r="I1560" s="28"/>
      <c r="J1560" s="28"/>
      <c r="K1560" s="28"/>
    </row>
    <row r="1561">
      <c r="A1561" s="28"/>
      <c r="B1561" s="28"/>
      <c r="C1561" s="28"/>
      <c r="D1561" s="28"/>
      <c r="E1561" s="28"/>
      <c r="F1561" s="28"/>
      <c r="G1561" s="28"/>
      <c r="H1561" s="28"/>
      <c r="I1561" s="28"/>
      <c r="J1561" s="28"/>
      <c r="K1561" s="28"/>
    </row>
    <row r="1562">
      <c r="A1562" s="28"/>
      <c r="B1562" s="28"/>
      <c r="C1562" s="28"/>
      <c r="D1562" s="28"/>
      <c r="E1562" s="28"/>
      <c r="F1562" s="28"/>
      <c r="G1562" s="28"/>
      <c r="H1562" s="28"/>
      <c r="I1562" s="28"/>
      <c r="J1562" s="28"/>
      <c r="K1562" s="28"/>
    </row>
    <row r="1563">
      <c r="A1563" s="28"/>
      <c r="B1563" s="28"/>
      <c r="C1563" s="28"/>
      <c r="D1563" s="28"/>
      <c r="E1563" s="28"/>
      <c r="F1563" s="28"/>
      <c r="G1563" s="28"/>
      <c r="H1563" s="28"/>
      <c r="I1563" s="28"/>
      <c r="J1563" s="28"/>
      <c r="K1563" s="28"/>
    </row>
    <row r="1564">
      <c r="A1564" s="28"/>
      <c r="B1564" s="28"/>
      <c r="C1564" s="28"/>
      <c r="D1564" s="28"/>
      <c r="E1564" s="28"/>
      <c r="F1564" s="28"/>
      <c r="G1564" s="28"/>
      <c r="H1564" s="28"/>
      <c r="I1564" s="28"/>
      <c r="J1564" s="28"/>
      <c r="K1564" s="28"/>
    </row>
    <row r="1565">
      <c r="A1565" s="28"/>
      <c r="B1565" s="28"/>
      <c r="C1565" s="28"/>
      <c r="D1565" s="28"/>
      <c r="E1565" s="28"/>
      <c r="F1565" s="28"/>
      <c r="G1565" s="28"/>
      <c r="H1565" s="28"/>
      <c r="I1565" s="28"/>
      <c r="J1565" s="28"/>
      <c r="K1565" s="28"/>
    </row>
    <row r="1566">
      <c r="A1566" s="28"/>
      <c r="B1566" s="28"/>
      <c r="C1566" s="28"/>
      <c r="D1566" s="28"/>
      <c r="E1566" s="28"/>
      <c r="F1566" s="28"/>
      <c r="G1566" s="28"/>
      <c r="H1566" s="28"/>
      <c r="I1566" s="28"/>
      <c r="J1566" s="28"/>
      <c r="K1566" s="28"/>
    </row>
    <row r="1567">
      <c r="A1567" s="28"/>
      <c r="B1567" s="28"/>
      <c r="C1567" s="28"/>
      <c r="D1567" s="28"/>
      <c r="E1567" s="28"/>
      <c r="F1567" s="28"/>
      <c r="G1567" s="28"/>
      <c r="H1567" s="28"/>
      <c r="I1567" s="28"/>
      <c r="J1567" s="28"/>
      <c r="K1567" s="28"/>
    </row>
    <row r="1568">
      <c r="A1568" s="28"/>
      <c r="B1568" s="28"/>
      <c r="C1568" s="28"/>
      <c r="D1568" s="28"/>
      <c r="E1568" s="28"/>
      <c r="F1568" s="28"/>
      <c r="G1568" s="28"/>
      <c r="H1568" s="28"/>
      <c r="I1568" s="28"/>
      <c r="J1568" s="28"/>
      <c r="K1568" s="28"/>
    </row>
    <row r="1569">
      <c r="A1569" s="28"/>
      <c r="B1569" s="28"/>
      <c r="C1569" s="28"/>
      <c r="D1569" s="28"/>
      <c r="E1569" s="28"/>
      <c r="F1569" s="28"/>
      <c r="G1569" s="28"/>
      <c r="H1569" s="28"/>
      <c r="I1569" s="28"/>
      <c r="J1569" s="28"/>
      <c r="K1569" s="28"/>
    </row>
    <row r="1570">
      <c r="A1570" s="28"/>
      <c r="B1570" s="28"/>
      <c r="C1570" s="28"/>
      <c r="D1570" s="28"/>
      <c r="E1570" s="28"/>
      <c r="F1570" s="28"/>
      <c r="G1570" s="28"/>
      <c r="H1570" s="28"/>
      <c r="I1570" s="28"/>
      <c r="J1570" s="28"/>
      <c r="K1570" s="28"/>
    </row>
    <row r="1571">
      <c r="A1571" s="28"/>
      <c r="B1571" s="28"/>
      <c r="C1571" s="28"/>
      <c r="D1571" s="28"/>
      <c r="E1571" s="28"/>
      <c r="F1571" s="28"/>
      <c r="G1571" s="28"/>
      <c r="H1571" s="28"/>
      <c r="I1571" s="28"/>
      <c r="J1571" s="28"/>
      <c r="K1571" s="28"/>
    </row>
    <row r="1572">
      <c r="A1572" s="28"/>
      <c r="B1572" s="28"/>
      <c r="C1572" s="28"/>
      <c r="D1572" s="28"/>
      <c r="E1572" s="28"/>
      <c r="F1572" s="28"/>
      <c r="G1572" s="28"/>
      <c r="H1572" s="28"/>
      <c r="I1572" s="28"/>
      <c r="J1572" s="28"/>
      <c r="K1572" s="28"/>
    </row>
    <row r="1573">
      <c r="A1573" s="28"/>
      <c r="B1573" s="28"/>
      <c r="C1573" s="28"/>
      <c r="D1573" s="28"/>
      <c r="E1573" s="28"/>
      <c r="F1573" s="28"/>
      <c r="G1573" s="28"/>
      <c r="H1573" s="28"/>
      <c r="I1573" s="28"/>
      <c r="J1573" s="28"/>
      <c r="K1573" s="28"/>
    </row>
    <row r="1574">
      <c r="A1574" s="28"/>
      <c r="B1574" s="28"/>
      <c r="C1574" s="28"/>
      <c r="D1574" s="28"/>
      <c r="E1574" s="28"/>
      <c r="F1574" s="28"/>
      <c r="G1574" s="28"/>
      <c r="H1574" s="28"/>
      <c r="I1574" s="28"/>
      <c r="J1574" s="28"/>
      <c r="K1574" s="28"/>
    </row>
    <row r="1575">
      <c r="A1575" s="28"/>
      <c r="B1575" s="28"/>
      <c r="C1575" s="28"/>
      <c r="D1575" s="28"/>
      <c r="E1575" s="28"/>
      <c r="F1575" s="28"/>
      <c r="G1575" s="28"/>
      <c r="H1575" s="28"/>
      <c r="I1575" s="28"/>
      <c r="J1575" s="28"/>
      <c r="K1575" s="28"/>
    </row>
    <row r="1576">
      <c r="A1576" s="28"/>
      <c r="B1576" s="28"/>
      <c r="C1576" s="28"/>
      <c r="D1576" s="28"/>
      <c r="E1576" s="28"/>
      <c r="F1576" s="28"/>
      <c r="G1576" s="28"/>
      <c r="H1576" s="28"/>
      <c r="I1576" s="28"/>
      <c r="J1576" s="28"/>
      <c r="K1576" s="28"/>
    </row>
    <row r="1577">
      <c r="A1577" s="28"/>
      <c r="B1577" s="28"/>
      <c r="C1577" s="28"/>
      <c r="D1577" s="28"/>
      <c r="E1577" s="28"/>
      <c r="F1577" s="28"/>
      <c r="G1577" s="28"/>
      <c r="H1577" s="28"/>
      <c r="I1577" s="28"/>
      <c r="J1577" s="28"/>
      <c r="K1577" s="28"/>
    </row>
    <row r="1578">
      <c r="A1578" s="28"/>
      <c r="B1578" s="28"/>
      <c r="C1578" s="28"/>
      <c r="D1578" s="28"/>
      <c r="E1578" s="28"/>
      <c r="F1578" s="28"/>
      <c r="G1578" s="28"/>
      <c r="H1578" s="28"/>
      <c r="I1578" s="28"/>
      <c r="J1578" s="28"/>
      <c r="K1578" s="28"/>
    </row>
    <row r="1579">
      <c r="A1579" s="28"/>
      <c r="B1579" s="28"/>
      <c r="C1579" s="28"/>
      <c r="D1579" s="28"/>
      <c r="E1579" s="28"/>
      <c r="F1579" s="28"/>
      <c r="G1579" s="28"/>
      <c r="H1579" s="28"/>
      <c r="I1579" s="28"/>
      <c r="J1579" s="28"/>
      <c r="K1579" s="28"/>
    </row>
    <row r="1580">
      <c r="A1580" s="28"/>
      <c r="B1580" s="28"/>
      <c r="C1580" s="28"/>
      <c r="D1580" s="28"/>
      <c r="E1580" s="28"/>
      <c r="F1580" s="28"/>
      <c r="G1580" s="28"/>
      <c r="H1580" s="28"/>
      <c r="I1580" s="28"/>
      <c r="J1580" s="28"/>
      <c r="K1580" s="28"/>
    </row>
    <row r="1581">
      <c r="A1581" s="28"/>
      <c r="B1581" s="28"/>
      <c r="C1581" s="28"/>
      <c r="D1581" s="28"/>
      <c r="E1581" s="28"/>
      <c r="F1581" s="28"/>
      <c r="G1581" s="28"/>
      <c r="H1581" s="28"/>
      <c r="I1581" s="28"/>
      <c r="J1581" s="28"/>
      <c r="K1581" s="28"/>
    </row>
    <row r="1582">
      <c r="A1582" s="28"/>
      <c r="B1582" s="28"/>
      <c r="C1582" s="28"/>
      <c r="D1582" s="28"/>
      <c r="E1582" s="28"/>
      <c r="F1582" s="28"/>
      <c r="G1582" s="28"/>
      <c r="H1582" s="28"/>
      <c r="I1582" s="28"/>
      <c r="J1582" s="28"/>
      <c r="K1582" s="28"/>
    </row>
    <row r="1583">
      <c r="A1583" s="28"/>
      <c r="B1583" s="28"/>
      <c r="C1583" s="28"/>
      <c r="D1583" s="28"/>
      <c r="E1583" s="28"/>
      <c r="F1583" s="28"/>
      <c r="G1583" s="28"/>
      <c r="H1583" s="28"/>
      <c r="I1583" s="28"/>
      <c r="J1583" s="28"/>
      <c r="K1583" s="28"/>
    </row>
    <row r="1584">
      <c r="A1584" s="28"/>
      <c r="B1584" s="28"/>
      <c r="C1584" s="28"/>
      <c r="D1584" s="28"/>
      <c r="E1584" s="28"/>
      <c r="F1584" s="28"/>
      <c r="G1584" s="28"/>
      <c r="H1584" s="28"/>
      <c r="I1584" s="28"/>
      <c r="J1584" s="28"/>
      <c r="K1584" s="28"/>
    </row>
    <row r="1585">
      <c r="A1585" s="28"/>
      <c r="B1585" s="28"/>
      <c r="C1585" s="28"/>
      <c r="D1585" s="28"/>
      <c r="E1585" s="28"/>
      <c r="F1585" s="28"/>
      <c r="G1585" s="28"/>
      <c r="H1585" s="28"/>
      <c r="I1585" s="28"/>
      <c r="J1585" s="28"/>
      <c r="K1585" s="28"/>
    </row>
    <row r="1586">
      <c r="A1586" s="28"/>
      <c r="B1586" s="28"/>
      <c r="C1586" s="28"/>
      <c r="D1586" s="28"/>
      <c r="E1586" s="28"/>
      <c r="F1586" s="28"/>
      <c r="G1586" s="28"/>
      <c r="H1586" s="28"/>
      <c r="I1586" s="28"/>
      <c r="J1586" s="28"/>
      <c r="K1586" s="28"/>
    </row>
    <row r="1587">
      <c r="A1587" s="28"/>
      <c r="B1587" s="28"/>
      <c r="C1587" s="28"/>
      <c r="D1587" s="28"/>
      <c r="E1587" s="28"/>
      <c r="F1587" s="28"/>
      <c r="G1587" s="28"/>
      <c r="H1587" s="28"/>
      <c r="I1587" s="28"/>
      <c r="J1587" s="28"/>
      <c r="K1587" s="28"/>
    </row>
    <row r="1588">
      <c r="A1588" s="28"/>
      <c r="B1588" s="28"/>
      <c r="C1588" s="28"/>
      <c r="D1588" s="28"/>
      <c r="E1588" s="28"/>
      <c r="F1588" s="28"/>
      <c r="G1588" s="28"/>
      <c r="H1588" s="28"/>
      <c r="I1588" s="28"/>
      <c r="J1588" s="28"/>
      <c r="K1588" s="28"/>
    </row>
    <row r="1589">
      <c r="A1589" s="28"/>
      <c r="B1589" s="28"/>
      <c r="C1589" s="28"/>
      <c r="D1589" s="28"/>
      <c r="E1589" s="28"/>
      <c r="F1589" s="28"/>
      <c r="G1589" s="28"/>
      <c r="H1589" s="28"/>
      <c r="I1589" s="28"/>
      <c r="J1589" s="28"/>
      <c r="K1589" s="28"/>
    </row>
    <row r="1590">
      <c r="A1590" s="28"/>
      <c r="B1590" s="28"/>
      <c r="C1590" s="28"/>
      <c r="D1590" s="28"/>
      <c r="E1590" s="28"/>
      <c r="F1590" s="28"/>
      <c r="G1590" s="28"/>
      <c r="H1590" s="28"/>
      <c r="I1590" s="28"/>
      <c r="J1590" s="28"/>
      <c r="K1590" s="28"/>
    </row>
    <row r="1591">
      <c r="A1591" s="28"/>
      <c r="B1591" s="28"/>
      <c r="C1591" s="28"/>
      <c r="D1591" s="28"/>
      <c r="E1591" s="28"/>
      <c r="F1591" s="28"/>
      <c r="G1591" s="28"/>
      <c r="H1591" s="28"/>
      <c r="I1591" s="28"/>
      <c r="J1591" s="28"/>
      <c r="K1591" s="28"/>
    </row>
    <row r="1592">
      <c r="A1592" s="28"/>
      <c r="B1592" s="28"/>
      <c r="C1592" s="28"/>
      <c r="D1592" s="28"/>
      <c r="E1592" s="28"/>
      <c r="F1592" s="28"/>
      <c r="G1592" s="28"/>
      <c r="H1592" s="28"/>
      <c r="I1592" s="28"/>
      <c r="J1592" s="28"/>
      <c r="K1592" s="28"/>
    </row>
    <row r="1593">
      <c r="A1593" s="28"/>
      <c r="B1593" s="28"/>
      <c r="C1593" s="28"/>
      <c r="D1593" s="28"/>
      <c r="E1593" s="28"/>
      <c r="F1593" s="28"/>
      <c r="G1593" s="28"/>
      <c r="H1593" s="28"/>
      <c r="I1593" s="28"/>
      <c r="J1593" s="28"/>
      <c r="K1593" s="28"/>
    </row>
    <row r="1594">
      <c r="A1594" s="28"/>
      <c r="B1594" s="28"/>
      <c r="C1594" s="28"/>
      <c r="D1594" s="28"/>
      <c r="E1594" s="28"/>
      <c r="F1594" s="28"/>
      <c r="G1594" s="28"/>
      <c r="H1594" s="28"/>
      <c r="I1594" s="28"/>
      <c r="J1594" s="28"/>
      <c r="K1594" s="28"/>
    </row>
    <row r="1595">
      <c r="A1595" s="28"/>
      <c r="B1595" s="28"/>
      <c r="C1595" s="28"/>
      <c r="D1595" s="28"/>
      <c r="E1595" s="28"/>
      <c r="F1595" s="28"/>
      <c r="G1595" s="28"/>
      <c r="H1595" s="28"/>
      <c r="I1595" s="28"/>
      <c r="J1595" s="28"/>
      <c r="K1595" s="28"/>
    </row>
    <row r="1596">
      <c r="A1596" s="28"/>
      <c r="B1596" s="28"/>
      <c r="C1596" s="28"/>
      <c r="D1596" s="28"/>
      <c r="E1596" s="28"/>
      <c r="F1596" s="28"/>
      <c r="G1596" s="28"/>
      <c r="H1596" s="28"/>
      <c r="I1596" s="28"/>
      <c r="J1596" s="28"/>
      <c r="K1596" s="28"/>
    </row>
    <row r="1597">
      <c r="A1597" s="28"/>
      <c r="B1597" s="28"/>
      <c r="C1597" s="28"/>
      <c r="D1597" s="28"/>
      <c r="E1597" s="28"/>
      <c r="F1597" s="28"/>
      <c r="G1597" s="28"/>
      <c r="H1597" s="28"/>
      <c r="I1597" s="28"/>
      <c r="J1597" s="28"/>
      <c r="K1597" s="28"/>
    </row>
    <row r="1598">
      <c r="A1598" s="28"/>
      <c r="B1598" s="28"/>
      <c r="C1598" s="28"/>
      <c r="D1598" s="28"/>
      <c r="E1598" s="28"/>
      <c r="F1598" s="28"/>
      <c r="G1598" s="28"/>
      <c r="H1598" s="28"/>
      <c r="I1598" s="28"/>
      <c r="J1598" s="28"/>
      <c r="K1598" s="28"/>
    </row>
    <row r="1599">
      <c r="A1599" s="28"/>
      <c r="B1599" s="28"/>
      <c r="C1599" s="28"/>
      <c r="D1599" s="28"/>
      <c r="E1599" s="28"/>
      <c r="F1599" s="28"/>
      <c r="G1599" s="28"/>
      <c r="H1599" s="28"/>
      <c r="I1599" s="28"/>
      <c r="J1599" s="28"/>
      <c r="K1599" s="28"/>
    </row>
    <row r="1600">
      <c r="A1600" s="28"/>
      <c r="B1600" s="28"/>
      <c r="C1600" s="28"/>
      <c r="D1600" s="28"/>
      <c r="E1600" s="28"/>
      <c r="F1600" s="28"/>
      <c r="G1600" s="28"/>
      <c r="H1600" s="28"/>
      <c r="I1600" s="28"/>
      <c r="J1600" s="28"/>
      <c r="K1600" s="28"/>
    </row>
    <row r="1601">
      <c r="A1601" s="28"/>
      <c r="B1601" s="28"/>
      <c r="C1601" s="28"/>
      <c r="D1601" s="28"/>
      <c r="E1601" s="28"/>
      <c r="F1601" s="28"/>
      <c r="G1601" s="28"/>
      <c r="H1601" s="28"/>
      <c r="I1601" s="28"/>
      <c r="J1601" s="28"/>
      <c r="K1601" s="28"/>
    </row>
    <row r="1602">
      <c r="A1602" s="28"/>
      <c r="B1602" s="28"/>
      <c r="C1602" s="28"/>
      <c r="D1602" s="28"/>
      <c r="E1602" s="28"/>
      <c r="F1602" s="28"/>
      <c r="G1602" s="28"/>
      <c r="H1602" s="28"/>
      <c r="I1602" s="28"/>
      <c r="J1602" s="28"/>
      <c r="K1602" s="28"/>
    </row>
    <row r="1603">
      <c r="A1603" s="28"/>
      <c r="B1603" s="28"/>
      <c r="C1603" s="28"/>
      <c r="D1603" s="28"/>
      <c r="E1603" s="28"/>
      <c r="F1603" s="28"/>
      <c r="G1603" s="28"/>
      <c r="H1603" s="28"/>
      <c r="I1603" s="28"/>
      <c r="J1603" s="28"/>
      <c r="K1603" s="28"/>
    </row>
    <row r="1604">
      <c r="A1604" s="28"/>
      <c r="B1604" s="28"/>
      <c r="C1604" s="28"/>
      <c r="D1604" s="28"/>
      <c r="E1604" s="28"/>
      <c r="F1604" s="28"/>
      <c r="G1604" s="28"/>
      <c r="H1604" s="28"/>
      <c r="I1604" s="28"/>
      <c r="J1604" s="28"/>
      <c r="K1604" s="28"/>
    </row>
    <row r="1605">
      <c r="A1605" s="28"/>
      <c r="B1605" s="28"/>
      <c r="C1605" s="28"/>
      <c r="D1605" s="28"/>
      <c r="E1605" s="28"/>
      <c r="F1605" s="28"/>
      <c r="G1605" s="28"/>
      <c r="H1605" s="28"/>
      <c r="I1605" s="28"/>
      <c r="J1605" s="28"/>
      <c r="K1605" s="28"/>
    </row>
    <row r="1606">
      <c r="A1606" s="28"/>
      <c r="B1606" s="28"/>
      <c r="C1606" s="28"/>
      <c r="D1606" s="28"/>
      <c r="E1606" s="28"/>
      <c r="F1606" s="28"/>
      <c r="G1606" s="28"/>
      <c r="H1606" s="28"/>
      <c r="I1606" s="28"/>
      <c r="J1606" s="28"/>
      <c r="K1606" s="28"/>
    </row>
    <row r="1607">
      <c r="A1607" s="28"/>
      <c r="B1607" s="28"/>
      <c r="C1607" s="28"/>
      <c r="D1607" s="28"/>
      <c r="E1607" s="28"/>
      <c r="F1607" s="28"/>
      <c r="G1607" s="28"/>
      <c r="H1607" s="28"/>
      <c r="I1607" s="28"/>
      <c r="J1607" s="28"/>
      <c r="K1607" s="28"/>
    </row>
    <row r="1608">
      <c r="A1608" s="28"/>
      <c r="B1608" s="28"/>
      <c r="C1608" s="28"/>
      <c r="D1608" s="28"/>
      <c r="E1608" s="28"/>
      <c r="F1608" s="28"/>
      <c r="G1608" s="28"/>
      <c r="H1608" s="28"/>
      <c r="I1608" s="28"/>
      <c r="J1608" s="28"/>
      <c r="K1608" s="28"/>
    </row>
    <row r="1609">
      <c r="A1609" s="28"/>
      <c r="B1609" s="28"/>
      <c r="C1609" s="28"/>
      <c r="D1609" s="28"/>
      <c r="E1609" s="28"/>
      <c r="F1609" s="28"/>
      <c r="G1609" s="28"/>
      <c r="H1609" s="28"/>
      <c r="I1609" s="28"/>
      <c r="J1609" s="28"/>
      <c r="K1609" s="28"/>
    </row>
    <row r="1610">
      <c r="A1610" s="28"/>
      <c r="B1610" s="28"/>
      <c r="C1610" s="28"/>
      <c r="D1610" s="28"/>
      <c r="E1610" s="28"/>
      <c r="F1610" s="28"/>
      <c r="G1610" s="28"/>
      <c r="H1610" s="28"/>
      <c r="I1610" s="28"/>
      <c r="J1610" s="28"/>
      <c r="K1610" s="28"/>
    </row>
    <row r="1611">
      <c r="A1611" s="28"/>
      <c r="B1611" s="28"/>
      <c r="C1611" s="28"/>
      <c r="D1611" s="28"/>
      <c r="E1611" s="28"/>
      <c r="F1611" s="28"/>
      <c r="G1611" s="28"/>
      <c r="H1611" s="28"/>
      <c r="I1611" s="28"/>
      <c r="J1611" s="28"/>
      <c r="K1611" s="28"/>
    </row>
    <row r="1612">
      <c r="A1612" s="28"/>
      <c r="B1612" s="28"/>
      <c r="C1612" s="28"/>
      <c r="D1612" s="28"/>
      <c r="E1612" s="28"/>
      <c r="F1612" s="28"/>
      <c r="G1612" s="28"/>
      <c r="H1612" s="28"/>
      <c r="I1612" s="28"/>
      <c r="J1612" s="28"/>
      <c r="K1612" s="28"/>
    </row>
    <row r="1613">
      <c r="A1613" s="28"/>
      <c r="B1613" s="28"/>
      <c r="C1613" s="28"/>
      <c r="D1613" s="28"/>
      <c r="E1613" s="28"/>
      <c r="F1613" s="28"/>
      <c r="G1613" s="28"/>
      <c r="H1613" s="28"/>
      <c r="I1613" s="28"/>
      <c r="J1613" s="28"/>
      <c r="K1613" s="28"/>
    </row>
    <row r="1614">
      <c r="A1614" s="28"/>
      <c r="B1614" s="28"/>
      <c r="C1614" s="28"/>
      <c r="D1614" s="28"/>
      <c r="E1614" s="28"/>
      <c r="F1614" s="28"/>
      <c r="G1614" s="28"/>
      <c r="H1614" s="28"/>
      <c r="I1614" s="28"/>
      <c r="J1614" s="28"/>
      <c r="K1614" s="28"/>
    </row>
    <row r="1615">
      <c r="A1615" s="28"/>
      <c r="B1615" s="28"/>
      <c r="C1615" s="28"/>
      <c r="D1615" s="28"/>
      <c r="E1615" s="28"/>
      <c r="F1615" s="28"/>
      <c r="G1615" s="28"/>
      <c r="H1615" s="28"/>
      <c r="I1615" s="28"/>
      <c r="J1615" s="28"/>
      <c r="K1615" s="28"/>
    </row>
    <row r="1616">
      <c r="A1616" s="28"/>
      <c r="B1616" s="28"/>
      <c r="C1616" s="28"/>
      <c r="D1616" s="28"/>
      <c r="E1616" s="28"/>
      <c r="F1616" s="28"/>
      <c r="G1616" s="28"/>
      <c r="H1616" s="28"/>
      <c r="I1616" s="28"/>
      <c r="J1616" s="28"/>
      <c r="K1616" s="28"/>
    </row>
    <row r="1617">
      <c r="A1617" s="28"/>
      <c r="B1617" s="28"/>
      <c r="C1617" s="28"/>
      <c r="D1617" s="28"/>
      <c r="E1617" s="28"/>
      <c r="F1617" s="28"/>
      <c r="G1617" s="28"/>
      <c r="H1617" s="28"/>
      <c r="I1617" s="28"/>
      <c r="J1617" s="28"/>
      <c r="K1617" s="28"/>
    </row>
    <row r="1618">
      <c r="A1618" s="28"/>
      <c r="B1618" s="28"/>
      <c r="C1618" s="28"/>
      <c r="D1618" s="28"/>
      <c r="E1618" s="28"/>
      <c r="F1618" s="28"/>
      <c r="G1618" s="28"/>
      <c r="H1618" s="28"/>
      <c r="I1618" s="28"/>
      <c r="J1618" s="28"/>
      <c r="K1618" s="28"/>
    </row>
    <row r="1619">
      <c r="A1619" s="28"/>
      <c r="B1619" s="28"/>
      <c r="C1619" s="28"/>
      <c r="D1619" s="28"/>
      <c r="E1619" s="28"/>
      <c r="F1619" s="28"/>
      <c r="G1619" s="28"/>
      <c r="H1619" s="28"/>
      <c r="I1619" s="28"/>
      <c r="J1619" s="28"/>
      <c r="K1619" s="28"/>
    </row>
    <row r="1620">
      <c r="A1620" s="28"/>
      <c r="B1620" s="28"/>
      <c r="C1620" s="28"/>
      <c r="D1620" s="28"/>
      <c r="E1620" s="28"/>
      <c r="F1620" s="28"/>
      <c r="G1620" s="28"/>
      <c r="H1620" s="28"/>
      <c r="I1620" s="28"/>
      <c r="J1620" s="28"/>
      <c r="K1620" s="28"/>
    </row>
    <row r="1621">
      <c r="A1621" s="28"/>
      <c r="B1621" s="28"/>
      <c r="C1621" s="28"/>
      <c r="D1621" s="28"/>
      <c r="E1621" s="28"/>
      <c r="F1621" s="28"/>
      <c r="G1621" s="28"/>
      <c r="H1621" s="28"/>
      <c r="I1621" s="28"/>
      <c r="J1621" s="28"/>
      <c r="K1621" s="28"/>
    </row>
    <row r="1622">
      <c r="A1622" s="28"/>
      <c r="B1622" s="28"/>
      <c r="C1622" s="28"/>
      <c r="D1622" s="28"/>
      <c r="E1622" s="28"/>
      <c r="F1622" s="28"/>
      <c r="G1622" s="28"/>
      <c r="H1622" s="28"/>
      <c r="I1622" s="28"/>
      <c r="J1622" s="28"/>
      <c r="K1622" s="28"/>
    </row>
    <row r="1623">
      <c r="A1623" s="28"/>
      <c r="B1623" s="28"/>
      <c r="C1623" s="28"/>
      <c r="D1623" s="28"/>
      <c r="E1623" s="28"/>
      <c r="F1623" s="28"/>
      <c r="G1623" s="28"/>
      <c r="H1623" s="28"/>
      <c r="I1623" s="28"/>
      <c r="J1623" s="28"/>
      <c r="K1623" s="28"/>
    </row>
    <row r="1624">
      <c r="A1624" s="28"/>
      <c r="B1624" s="28"/>
      <c r="C1624" s="28"/>
      <c r="D1624" s="28"/>
      <c r="E1624" s="28"/>
      <c r="F1624" s="28"/>
      <c r="G1624" s="28"/>
      <c r="H1624" s="28"/>
      <c r="I1624" s="28"/>
      <c r="J1624" s="28"/>
      <c r="K1624" s="28"/>
    </row>
    <row r="1625">
      <c r="A1625" s="28"/>
      <c r="B1625" s="28"/>
      <c r="C1625" s="28"/>
      <c r="D1625" s="28"/>
      <c r="E1625" s="28"/>
      <c r="F1625" s="28"/>
      <c r="G1625" s="28"/>
      <c r="H1625" s="28"/>
      <c r="I1625" s="28"/>
      <c r="J1625" s="28"/>
      <c r="K1625" s="28"/>
    </row>
    <row r="1626">
      <c r="A1626" s="28"/>
      <c r="B1626" s="28"/>
      <c r="C1626" s="28"/>
      <c r="D1626" s="28"/>
      <c r="E1626" s="28"/>
      <c r="F1626" s="28"/>
      <c r="G1626" s="28"/>
      <c r="H1626" s="28"/>
      <c r="I1626" s="28"/>
      <c r="J1626" s="28"/>
      <c r="K1626" s="28"/>
    </row>
    <row r="1627">
      <c r="A1627" s="28"/>
      <c r="B1627" s="28"/>
      <c r="C1627" s="28"/>
      <c r="D1627" s="28"/>
      <c r="E1627" s="28"/>
      <c r="F1627" s="28"/>
      <c r="G1627" s="28"/>
      <c r="H1627" s="28"/>
      <c r="I1627" s="28"/>
      <c r="J1627" s="28"/>
      <c r="K1627" s="28"/>
    </row>
    <row r="1628">
      <c r="A1628" s="28"/>
      <c r="B1628" s="28"/>
      <c r="C1628" s="28"/>
      <c r="D1628" s="28"/>
      <c r="E1628" s="28"/>
      <c r="F1628" s="28"/>
      <c r="G1628" s="28"/>
      <c r="H1628" s="28"/>
      <c r="I1628" s="28"/>
      <c r="J1628" s="28"/>
      <c r="K1628" s="28"/>
    </row>
    <row r="1629">
      <c r="A1629" s="28"/>
      <c r="B1629" s="28"/>
      <c r="C1629" s="28"/>
      <c r="D1629" s="28"/>
      <c r="E1629" s="28"/>
      <c r="F1629" s="28"/>
      <c r="G1629" s="28"/>
      <c r="H1629" s="28"/>
      <c r="I1629" s="28"/>
      <c r="J1629" s="28"/>
      <c r="K1629" s="28"/>
    </row>
    <row r="1630">
      <c r="A1630" s="28"/>
      <c r="B1630" s="28"/>
      <c r="C1630" s="28"/>
      <c r="D1630" s="28"/>
      <c r="E1630" s="28"/>
      <c r="F1630" s="28"/>
      <c r="G1630" s="28"/>
      <c r="H1630" s="28"/>
      <c r="I1630" s="28"/>
      <c r="J1630" s="28"/>
      <c r="K1630" s="28"/>
    </row>
    <row r="1631">
      <c r="A1631" s="28"/>
      <c r="B1631" s="28"/>
      <c r="C1631" s="28"/>
      <c r="D1631" s="28"/>
      <c r="E1631" s="28"/>
      <c r="F1631" s="28"/>
      <c r="G1631" s="28"/>
      <c r="H1631" s="28"/>
      <c r="I1631" s="28"/>
      <c r="J1631" s="28"/>
      <c r="K1631" s="28"/>
    </row>
    <row r="1632">
      <c r="A1632" s="28"/>
      <c r="B1632" s="28"/>
      <c r="C1632" s="28"/>
      <c r="D1632" s="28"/>
      <c r="E1632" s="28"/>
      <c r="F1632" s="28"/>
      <c r="G1632" s="28"/>
      <c r="H1632" s="28"/>
      <c r="I1632" s="28"/>
      <c r="J1632" s="28"/>
      <c r="K1632" s="28"/>
    </row>
    <row r="1633">
      <c r="A1633" s="28"/>
      <c r="B1633" s="28"/>
      <c r="C1633" s="28"/>
      <c r="D1633" s="28"/>
      <c r="E1633" s="28"/>
      <c r="F1633" s="28"/>
      <c r="G1633" s="28"/>
      <c r="H1633" s="28"/>
      <c r="I1633" s="28"/>
      <c r="J1633" s="28"/>
      <c r="K1633" s="28"/>
    </row>
    <row r="1634">
      <c r="A1634" s="28"/>
      <c r="B1634" s="28"/>
      <c r="C1634" s="28"/>
      <c r="D1634" s="28"/>
      <c r="E1634" s="28"/>
      <c r="F1634" s="28"/>
      <c r="G1634" s="28"/>
      <c r="H1634" s="28"/>
      <c r="I1634" s="28"/>
      <c r="J1634" s="28"/>
      <c r="K1634" s="28"/>
    </row>
    <row r="1635">
      <c r="A1635" s="28"/>
      <c r="B1635" s="28"/>
      <c r="C1635" s="28"/>
      <c r="D1635" s="28"/>
      <c r="E1635" s="28"/>
      <c r="F1635" s="28"/>
      <c r="G1635" s="28"/>
      <c r="H1635" s="28"/>
      <c r="I1635" s="28"/>
      <c r="J1635" s="28"/>
      <c r="K1635" s="28"/>
    </row>
    <row r="1636">
      <c r="A1636" s="28"/>
      <c r="B1636" s="28"/>
      <c r="C1636" s="28"/>
      <c r="D1636" s="28"/>
      <c r="E1636" s="28"/>
      <c r="F1636" s="28"/>
      <c r="G1636" s="28"/>
      <c r="H1636" s="28"/>
      <c r="I1636" s="28"/>
      <c r="J1636" s="28"/>
      <c r="K1636" s="28"/>
    </row>
    <row r="1637">
      <c r="A1637" s="28"/>
      <c r="B1637" s="28"/>
      <c r="C1637" s="28"/>
      <c r="D1637" s="28"/>
      <c r="E1637" s="28"/>
      <c r="F1637" s="28"/>
      <c r="G1637" s="28"/>
      <c r="H1637" s="28"/>
      <c r="I1637" s="28"/>
      <c r="J1637" s="28"/>
      <c r="K1637" s="28"/>
    </row>
    <row r="1638">
      <c r="A1638" s="28"/>
      <c r="B1638" s="28"/>
      <c r="C1638" s="28"/>
      <c r="D1638" s="28"/>
      <c r="E1638" s="28"/>
      <c r="F1638" s="28"/>
      <c r="G1638" s="28"/>
      <c r="H1638" s="28"/>
      <c r="I1638" s="28"/>
      <c r="J1638" s="28"/>
      <c r="K1638" s="28"/>
    </row>
    <row r="1639">
      <c r="A1639" s="28"/>
      <c r="B1639" s="28"/>
      <c r="C1639" s="28"/>
      <c r="D1639" s="28"/>
      <c r="E1639" s="28"/>
      <c r="F1639" s="28"/>
      <c r="G1639" s="28"/>
      <c r="H1639" s="28"/>
      <c r="I1639" s="28"/>
      <c r="J1639" s="28"/>
      <c r="K1639" s="28"/>
    </row>
    <row r="1640">
      <c r="A1640" s="28"/>
      <c r="B1640" s="28"/>
      <c r="C1640" s="28"/>
      <c r="D1640" s="28"/>
      <c r="E1640" s="28"/>
      <c r="F1640" s="28"/>
      <c r="G1640" s="28"/>
      <c r="H1640" s="28"/>
      <c r="I1640" s="28"/>
      <c r="J1640" s="28"/>
      <c r="K1640" s="28"/>
    </row>
    <row r="1641">
      <c r="A1641" s="28"/>
      <c r="B1641" s="28"/>
      <c r="C1641" s="28"/>
      <c r="D1641" s="28"/>
      <c r="E1641" s="28"/>
      <c r="F1641" s="28"/>
      <c r="G1641" s="28"/>
      <c r="H1641" s="28"/>
      <c r="I1641" s="28"/>
      <c r="J1641" s="28"/>
      <c r="K1641" s="28"/>
    </row>
    <row r="1642">
      <c r="A1642" s="28"/>
      <c r="B1642" s="28"/>
      <c r="C1642" s="28"/>
      <c r="D1642" s="28"/>
      <c r="E1642" s="28"/>
      <c r="F1642" s="28"/>
      <c r="G1642" s="28"/>
      <c r="H1642" s="28"/>
      <c r="I1642" s="28"/>
      <c r="J1642" s="28"/>
      <c r="K1642" s="28"/>
    </row>
    <row r="1643">
      <c r="A1643" s="28"/>
      <c r="B1643" s="28"/>
      <c r="C1643" s="28"/>
      <c r="D1643" s="28"/>
      <c r="E1643" s="28"/>
      <c r="F1643" s="28"/>
      <c r="G1643" s="28"/>
      <c r="H1643" s="28"/>
      <c r="I1643" s="28"/>
      <c r="J1643" s="28"/>
      <c r="K1643" s="28"/>
    </row>
    <row r="1644">
      <c r="A1644" s="28"/>
      <c r="B1644" s="28"/>
      <c r="C1644" s="28"/>
      <c r="D1644" s="28"/>
      <c r="E1644" s="28"/>
      <c r="F1644" s="28"/>
      <c r="G1644" s="28"/>
      <c r="H1644" s="28"/>
      <c r="I1644" s="28"/>
      <c r="J1644" s="28"/>
      <c r="K1644" s="28"/>
    </row>
    <row r="1645">
      <c r="A1645" s="28"/>
      <c r="B1645" s="28"/>
      <c r="C1645" s="28"/>
      <c r="D1645" s="28"/>
      <c r="E1645" s="28"/>
      <c r="F1645" s="28"/>
      <c r="G1645" s="28"/>
      <c r="H1645" s="28"/>
      <c r="I1645" s="28"/>
      <c r="J1645" s="28"/>
      <c r="K1645" s="28"/>
    </row>
    <row r="1646">
      <c r="A1646" s="28"/>
      <c r="B1646" s="28"/>
      <c r="C1646" s="28"/>
      <c r="D1646" s="28"/>
      <c r="E1646" s="28"/>
      <c r="F1646" s="28"/>
      <c r="G1646" s="28"/>
      <c r="H1646" s="28"/>
      <c r="I1646" s="28"/>
      <c r="J1646" s="28"/>
      <c r="K1646" s="28"/>
    </row>
    <row r="1647">
      <c r="A1647" s="28"/>
      <c r="B1647" s="28"/>
      <c r="C1647" s="28"/>
      <c r="D1647" s="28"/>
      <c r="E1647" s="28"/>
      <c r="F1647" s="28"/>
      <c r="G1647" s="28"/>
      <c r="H1647" s="28"/>
      <c r="I1647" s="28"/>
      <c r="J1647" s="28"/>
      <c r="K1647" s="28"/>
    </row>
    <row r="1648">
      <c r="A1648" s="28"/>
      <c r="B1648" s="28"/>
      <c r="C1648" s="28"/>
      <c r="D1648" s="28"/>
      <c r="E1648" s="28"/>
      <c r="F1648" s="28"/>
      <c r="G1648" s="28"/>
      <c r="H1648" s="28"/>
      <c r="I1648" s="28"/>
      <c r="J1648" s="28"/>
      <c r="K1648" s="28"/>
    </row>
    <row r="1649">
      <c r="A1649" s="28"/>
      <c r="B1649" s="28"/>
      <c r="C1649" s="28"/>
      <c r="D1649" s="28"/>
      <c r="E1649" s="28"/>
      <c r="F1649" s="28"/>
      <c r="G1649" s="28"/>
      <c r="H1649" s="28"/>
      <c r="I1649" s="28"/>
      <c r="J1649" s="28"/>
      <c r="K1649" s="28"/>
    </row>
    <row r="1650">
      <c r="A1650" s="28"/>
      <c r="B1650" s="28"/>
      <c r="C1650" s="28"/>
      <c r="D1650" s="28"/>
      <c r="E1650" s="28"/>
      <c r="F1650" s="28"/>
      <c r="G1650" s="28"/>
      <c r="H1650" s="28"/>
      <c r="I1650" s="28"/>
      <c r="J1650" s="28"/>
      <c r="K1650" s="28"/>
    </row>
    <row r="1651">
      <c r="A1651" s="28"/>
      <c r="B1651" s="28"/>
      <c r="C1651" s="28"/>
      <c r="D1651" s="28"/>
      <c r="E1651" s="28"/>
      <c r="F1651" s="28"/>
      <c r="G1651" s="28"/>
      <c r="H1651" s="28"/>
      <c r="I1651" s="28"/>
      <c r="J1651" s="28"/>
      <c r="K1651" s="28"/>
    </row>
    <row r="1652">
      <c r="A1652" s="28"/>
      <c r="B1652" s="28"/>
      <c r="C1652" s="28"/>
      <c r="D1652" s="28"/>
      <c r="E1652" s="28"/>
      <c r="F1652" s="28"/>
      <c r="G1652" s="28"/>
      <c r="H1652" s="28"/>
      <c r="I1652" s="28"/>
      <c r="J1652" s="28"/>
      <c r="K1652" s="28"/>
    </row>
    <row r="1653">
      <c r="A1653" s="28"/>
      <c r="B1653" s="28"/>
      <c r="C1653" s="28"/>
      <c r="D1653" s="28"/>
      <c r="E1653" s="28"/>
      <c r="F1653" s="28"/>
      <c r="G1653" s="28"/>
      <c r="H1653" s="28"/>
      <c r="I1653" s="28"/>
      <c r="J1653" s="28"/>
      <c r="K1653" s="28"/>
    </row>
    <row r="1654">
      <c r="A1654" s="28"/>
      <c r="B1654" s="28"/>
      <c r="C1654" s="28"/>
      <c r="D1654" s="28"/>
      <c r="E1654" s="28"/>
      <c r="F1654" s="28"/>
      <c r="G1654" s="28"/>
      <c r="H1654" s="28"/>
      <c r="I1654" s="28"/>
      <c r="J1654" s="28"/>
      <c r="K1654" s="28"/>
    </row>
    <row r="1655">
      <c r="A1655" s="28"/>
      <c r="B1655" s="28"/>
      <c r="C1655" s="28"/>
      <c r="D1655" s="28"/>
      <c r="E1655" s="28"/>
      <c r="F1655" s="28"/>
      <c r="G1655" s="28"/>
      <c r="H1655" s="28"/>
      <c r="I1655" s="28"/>
      <c r="J1655" s="28"/>
      <c r="K1655" s="28"/>
    </row>
    <row r="1656">
      <c r="A1656" s="28"/>
      <c r="B1656" s="28"/>
      <c r="C1656" s="28"/>
      <c r="D1656" s="28"/>
      <c r="E1656" s="28"/>
      <c r="F1656" s="28"/>
      <c r="G1656" s="28"/>
      <c r="H1656" s="28"/>
      <c r="I1656" s="28"/>
      <c r="J1656" s="28"/>
      <c r="K1656" s="28"/>
    </row>
    <row r="1657">
      <c r="A1657" s="28"/>
      <c r="B1657" s="28"/>
      <c r="C1657" s="28"/>
      <c r="D1657" s="28"/>
      <c r="E1657" s="28"/>
      <c r="F1657" s="28"/>
      <c r="G1657" s="28"/>
      <c r="H1657" s="28"/>
      <c r="I1657" s="28"/>
      <c r="J1657" s="28"/>
      <c r="K1657" s="28"/>
    </row>
    <row r="1658">
      <c r="A1658" s="28"/>
      <c r="B1658" s="28"/>
      <c r="C1658" s="28"/>
      <c r="D1658" s="28"/>
      <c r="E1658" s="28"/>
      <c r="F1658" s="28"/>
      <c r="G1658" s="28"/>
      <c r="H1658" s="28"/>
      <c r="I1658" s="28"/>
      <c r="J1658" s="28"/>
      <c r="K1658" s="28"/>
    </row>
    <row r="1659">
      <c r="A1659" s="28"/>
      <c r="B1659" s="28"/>
      <c r="C1659" s="28"/>
      <c r="D1659" s="28"/>
      <c r="E1659" s="28"/>
      <c r="F1659" s="28"/>
      <c r="G1659" s="28"/>
      <c r="H1659" s="28"/>
      <c r="I1659" s="28"/>
      <c r="J1659" s="28"/>
      <c r="K1659" s="28"/>
    </row>
    <row r="1660">
      <c r="A1660" s="28"/>
      <c r="B1660" s="28"/>
      <c r="C1660" s="28"/>
      <c r="D1660" s="28"/>
      <c r="E1660" s="28"/>
      <c r="F1660" s="28"/>
      <c r="G1660" s="28"/>
      <c r="H1660" s="28"/>
      <c r="I1660" s="28"/>
      <c r="J1660" s="28"/>
      <c r="K1660" s="28"/>
    </row>
    <row r="1661">
      <c r="A1661" s="28"/>
      <c r="B1661" s="28"/>
      <c r="C1661" s="28"/>
      <c r="D1661" s="28"/>
      <c r="E1661" s="28"/>
      <c r="F1661" s="28"/>
      <c r="G1661" s="28"/>
      <c r="H1661" s="28"/>
      <c r="I1661" s="28"/>
      <c r="J1661" s="28"/>
      <c r="K1661" s="28"/>
    </row>
    <row r="1662">
      <c r="A1662" s="28"/>
      <c r="B1662" s="28"/>
      <c r="C1662" s="28"/>
      <c r="D1662" s="28"/>
      <c r="E1662" s="28"/>
      <c r="F1662" s="28"/>
      <c r="G1662" s="28"/>
      <c r="H1662" s="28"/>
      <c r="I1662" s="28"/>
      <c r="J1662" s="28"/>
      <c r="K1662" s="28"/>
    </row>
    <row r="1663">
      <c r="A1663" s="28"/>
      <c r="B1663" s="28"/>
      <c r="C1663" s="28"/>
      <c r="D1663" s="28"/>
      <c r="E1663" s="28"/>
      <c r="F1663" s="28"/>
      <c r="G1663" s="28"/>
      <c r="H1663" s="28"/>
      <c r="I1663" s="28"/>
      <c r="J1663" s="28"/>
      <c r="K1663" s="28"/>
    </row>
    <row r="1664">
      <c r="A1664" s="28"/>
      <c r="B1664" s="28"/>
      <c r="C1664" s="28"/>
      <c r="D1664" s="28"/>
      <c r="E1664" s="28"/>
      <c r="F1664" s="28"/>
      <c r="G1664" s="28"/>
      <c r="H1664" s="28"/>
      <c r="I1664" s="28"/>
      <c r="J1664" s="28"/>
      <c r="K1664" s="28"/>
    </row>
    <row r="1665">
      <c r="A1665" s="28"/>
      <c r="B1665" s="28"/>
      <c r="C1665" s="28"/>
      <c r="D1665" s="28"/>
      <c r="E1665" s="28"/>
      <c r="F1665" s="28"/>
      <c r="G1665" s="28"/>
      <c r="H1665" s="28"/>
      <c r="I1665" s="28"/>
      <c r="J1665" s="28"/>
      <c r="K1665" s="28"/>
    </row>
    <row r="1666">
      <c r="A1666" s="28"/>
      <c r="B1666" s="28"/>
      <c r="C1666" s="28"/>
      <c r="D1666" s="28"/>
      <c r="E1666" s="28"/>
      <c r="F1666" s="28"/>
      <c r="G1666" s="28"/>
      <c r="H1666" s="28"/>
      <c r="I1666" s="28"/>
      <c r="J1666" s="28"/>
      <c r="K1666" s="28"/>
    </row>
    <row r="1667">
      <c r="A1667" s="28"/>
      <c r="B1667" s="28"/>
      <c r="C1667" s="28"/>
      <c r="D1667" s="28"/>
      <c r="E1667" s="28"/>
      <c r="F1667" s="28"/>
      <c r="G1667" s="28"/>
      <c r="H1667" s="28"/>
      <c r="I1667" s="28"/>
      <c r="J1667" s="28"/>
      <c r="K1667" s="28"/>
    </row>
    <row r="1668">
      <c r="A1668" s="28"/>
      <c r="B1668" s="28"/>
      <c r="C1668" s="28"/>
      <c r="D1668" s="28"/>
      <c r="E1668" s="28"/>
      <c r="F1668" s="28"/>
      <c r="G1668" s="28"/>
      <c r="H1668" s="28"/>
      <c r="I1668" s="28"/>
      <c r="J1668" s="28"/>
      <c r="K1668" s="28"/>
    </row>
    <row r="1669">
      <c r="A1669" s="28"/>
      <c r="B1669" s="28"/>
      <c r="C1669" s="28"/>
      <c r="D1669" s="28"/>
      <c r="E1669" s="28"/>
      <c r="F1669" s="28"/>
      <c r="G1669" s="28"/>
      <c r="H1669" s="28"/>
      <c r="I1669" s="28"/>
      <c r="J1669" s="28"/>
      <c r="K1669" s="28"/>
    </row>
    <row r="1670">
      <c r="A1670" s="28"/>
      <c r="B1670" s="28"/>
      <c r="C1670" s="28"/>
      <c r="D1670" s="28"/>
      <c r="E1670" s="28"/>
      <c r="F1670" s="28"/>
      <c r="G1670" s="28"/>
      <c r="H1670" s="28"/>
      <c r="I1670" s="28"/>
      <c r="J1670" s="28"/>
      <c r="K1670" s="28"/>
    </row>
    <row r="1671">
      <c r="A1671" s="28"/>
      <c r="B1671" s="28"/>
      <c r="C1671" s="28"/>
      <c r="D1671" s="28"/>
      <c r="E1671" s="28"/>
      <c r="F1671" s="28"/>
      <c r="G1671" s="28"/>
      <c r="H1671" s="28"/>
      <c r="I1671" s="28"/>
      <c r="J1671" s="28"/>
      <c r="K1671" s="28"/>
    </row>
    <row r="1672">
      <c r="A1672" s="28"/>
      <c r="B1672" s="28"/>
      <c r="C1672" s="28"/>
      <c r="D1672" s="28"/>
      <c r="E1672" s="28"/>
      <c r="F1672" s="28"/>
      <c r="G1672" s="28"/>
      <c r="H1672" s="28"/>
      <c r="I1672" s="28"/>
      <c r="J1672" s="28"/>
      <c r="K1672" s="28"/>
    </row>
    <row r="1673">
      <c r="A1673" s="28"/>
      <c r="B1673" s="28"/>
      <c r="C1673" s="28"/>
      <c r="D1673" s="28"/>
      <c r="E1673" s="28"/>
      <c r="F1673" s="28"/>
      <c r="G1673" s="28"/>
      <c r="H1673" s="28"/>
      <c r="I1673" s="28"/>
      <c r="J1673" s="28"/>
      <c r="K1673" s="28"/>
    </row>
    <row r="1674">
      <c r="A1674" s="28"/>
      <c r="B1674" s="28"/>
      <c r="C1674" s="28"/>
      <c r="D1674" s="28"/>
      <c r="E1674" s="28"/>
      <c r="F1674" s="28"/>
      <c r="G1674" s="28"/>
      <c r="H1674" s="28"/>
      <c r="I1674" s="28"/>
      <c r="J1674" s="28"/>
      <c r="K1674" s="28"/>
    </row>
    <row r="1675">
      <c r="A1675" s="28"/>
      <c r="B1675" s="28"/>
      <c r="C1675" s="28"/>
      <c r="D1675" s="28"/>
      <c r="E1675" s="28"/>
      <c r="F1675" s="28"/>
      <c r="G1675" s="28"/>
      <c r="H1675" s="28"/>
      <c r="I1675" s="28"/>
      <c r="J1675" s="28"/>
      <c r="K1675" s="28"/>
    </row>
    <row r="1676">
      <c r="A1676" s="28"/>
      <c r="B1676" s="28"/>
      <c r="C1676" s="28"/>
      <c r="D1676" s="28"/>
      <c r="E1676" s="28"/>
      <c r="F1676" s="28"/>
      <c r="G1676" s="28"/>
      <c r="H1676" s="28"/>
      <c r="I1676" s="28"/>
      <c r="J1676" s="28"/>
      <c r="K1676" s="28"/>
    </row>
    <row r="1677">
      <c r="A1677" s="28"/>
      <c r="B1677" s="28"/>
      <c r="C1677" s="28"/>
      <c r="D1677" s="28"/>
      <c r="E1677" s="28"/>
      <c r="F1677" s="28"/>
      <c r="G1677" s="28"/>
      <c r="H1677" s="28"/>
      <c r="I1677" s="28"/>
      <c r="J1677" s="28"/>
      <c r="K1677" s="28"/>
    </row>
    <row r="1678">
      <c r="A1678" s="28"/>
      <c r="B1678" s="28"/>
      <c r="C1678" s="28"/>
      <c r="D1678" s="28"/>
      <c r="E1678" s="28"/>
      <c r="F1678" s="28"/>
      <c r="G1678" s="28"/>
      <c r="H1678" s="28"/>
      <c r="I1678" s="28"/>
      <c r="J1678" s="28"/>
      <c r="K1678" s="28"/>
    </row>
    <row r="1679">
      <c r="A1679" s="28"/>
      <c r="B1679" s="28"/>
      <c r="C1679" s="28"/>
      <c r="D1679" s="28"/>
      <c r="E1679" s="28"/>
      <c r="F1679" s="28"/>
      <c r="G1679" s="28"/>
      <c r="H1679" s="28"/>
      <c r="I1679" s="28"/>
      <c r="J1679" s="28"/>
      <c r="K1679" s="28"/>
    </row>
    <row r="1680">
      <c r="A1680" s="28"/>
      <c r="B1680" s="28"/>
      <c r="C1680" s="28"/>
      <c r="D1680" s="28"/>
      <c r="E1680" s="28"/>
      <c r="F1680" s="28"/>
      <c r="G1680" s="28"/>
      <c r="H1680" s="28"/>
      <c r="I1680" s="28"/>
      <c r="J1680" s="28"/>
      <c r="K1680" s="28"/>
    </row>
    <row r="1681">
      <c r="A1681" s="28"/>
      <c r="B1681" s="28"/>
      <c r="C1681" s="28"/>
      <c r="D1681" s="28"/>
      <c r="E1681" s="28"/>
      <c r="F1681" s="28"/>
      <c r="G1681" s="28"/>
      <c r="H1681" s="28"/>
      <c r="I1681" s="28"/>
      <c r="J1681" s="28"/>
      <c r="K1681" s="28"/>
    </row>
    <row r="1682">
      <c r="A1682" s="28"/>
      <c r="B1682" s="28"/>
      <c r="C1682" s="28"/>
      <c r="D1682" s="28"/>
      <c r="E1682" s="28"/>
      <c r="F1682" s="28"/>
      <c r="G1682" s="28"/>
      <c r="H1682" s="28"/>
      <c r="I1682" s="28"/>
      <c r="J1682" s="28"/>
      <c r="K1682" s="28"/>
    </row>
    <row r="1683">
      <c r="A1683" s="28"/>
      <c r="B1683" s="28"/>
      <c r="C1683" s="28"/>
      <c r="D1683" s="28"/>
      <c r="E1683" s="28"/>
      <c r="F1683" s="28"/>
      <c r="G1683" s="28"/>
      <c r="H1683" s="28"/>
      <c r="I1683" s="28"/>
      <c r="J1683" s="28"/>
      <c r="K1683" s="28"/>
    </row>
    <row r="1684">
      <c r="A1684" s="28"/>
      <c r="B1684" s="28"/>
      <c r="C1684" s="28"/>
      <c r="D1684" s="28"/>
      <c r="E1684" s="28"/>
      <c r="F1684" s="28"/>
      <c r="G1684" s="28"/>
      <c r="H1684" s="28"/>
      <c r="I1684" s="28"/>
      <c r="J1684" s="28"/>
      <c r="K1684" s="28"/>
    </row>
    <row r="1685">
      <c r="A1685" s="28"/>
      <c r="B1685" s="28"/>
      <c r="C1685" s="28"/>
      <c r="D1685" s="28"/>
      <c r="E1685" s="28"/>
      <c r="F1685" s="28"/>
      <c r="G1685" s="28"/>
      <c r="H1685" s="28"/>
      <c r="I1685" s="28"/>
      <c r="J1685" s="28"/>
      <c r="K1685" s="28"/>
    </row>
  </sheetData>
  <mergeCells count="974">
    <mergeCell ref="A24:A36"/>
    <mergeCell ref="B24:B36"/>
    <mergeCell ref="C27:C31"/>
    <mergeCell ref="D27:D31"/>
    <mergeCell ref="D35:D36"/>
    <mergeCell ref="B37:B44"/>
    <mergeCell ref="D41:D42"/>
    <mergeCell ref="C57:C58"/>
    <mergeCell ref="C59:C62"/>
    <mergeCell ref="C35:C36"/>
    <mergeCell ref="C41:C42"/>
    <mergeCell ref="B53:B67"/>
    <mergeCell ref="D54:D56"/>
    <mergeCell ref="D57:D58"/>
    <mergeCell ref="D59:D62"/>
    <mergeCell ref="D63:D66"/>
    <mergeCell ref="C54:C56"/>
    <mergeCell ref="C63:C66"/>
    <mergeCell ref="C68:C69"/>
    <mergeCell ref="C72:C74"/>
    <mergeCell ref="C75:C76"/>
    <mergeCell ref="C78:C79"/>
    <mergeCell ref="C81:C82"/>
    <mergeCell ref="D68:D69"/>
    <mergeCell ref="D72:D74"/>
    <mergeCell ref="D75:D76"/>
    <mergeCell ref="D78:D79"/>
    <mergeCell ref="D81:D82"/>
    <mergeCell ref="D85:D86"/>
    <mergeCell ref="D88:D89"/>
    <mergeCell ref="C118:C122"/>
    <mergeCell ref="D118:D122"/>
    <mergeCell ref="D130:D131"/>
    <mergeCell ref="D132:D136"/>
    <mergeCell ref="D143:D144"/>
    <mergeCell ref="D145:D146"/>
    <mergeCell ref="D147:D148"/>
    <mergeCell ref="D149:D150"/>
    <mergeCell ref="D92:D94"/>
    <mergeCell ref="D96:D98"/>
    <mergeCell ref="D99:D100"/>
    <mergeCell ref="D103:D104"/>
    <mergeCell ref="D107:D111"/>
    <mergeCell ref="D112:D114"/>
    <mergeCell ref="D115:D117"/>
    <mergeCell ref="C495:C496"/>
    <mergeCell ref="D495:D496"/>
    <mergeCell ref="C498:C499"/>
    <mergeCell ref="D498:D499"/>
    <mergeCell ref="C500:C501"/>
    <mergeCell ref="D500:D501"/>
    <mergeCell ref="D502:D503"/>
    <mergeCell ref="C502:C503"/>
    <mergeCell ref="C505:C507"/>
    <mergeCell ref="D505:D507"/>
    <mergeCell ref="C508:C512"/>
    <mergeCell ref="D508:D512"/>
    <mergeCell ref="C513:C516"/>
    <mergeCell ref="D513:D516"/>
    <mergeCell ref="A393:A424"/>
    <mergeCell ref="B393:B424"/>
    <mergeCell ref="A425:A452"/>
    <mergeCell ref="B425:B452"/>
    <mergeCell ref="A453:A491"/>
    <mergeCell ref="B453:B491"/>
    <mergeCell ref="B492:B538"/>
    <mergeCell ref="A698:A731"/>
    <mergeCell ref="A732:A748"/>
    <mergeCell ref="A749:A797"/>
    <mergeCell ref="A855:A929"/>
    <mergeCell ref="A492:A538"/>
    <mergeCell ref="A539:A557"/>
    <mergeCell ref="A558:A582"/>
    <mergeCell ref="A583:A601"/>
    <mergeCell ref="A602:A639"/>
    <mergeCell ref="A640:A661"/>
    <mergeCell ref="A662:A697"/>
    <mergeCell ref="B732:B748"/>
    <mergeCell ref="B749:B797"/>
    <mergeCell ref="B855:B929"/>
    <mergeCell ref="B539:B557"/>
    <mergeCell ref="B558:B582"/>
    <mergeCell ref="B583:B601"/>
    <mergeCell ref="B602:B639"/>
    <mergeCell ref="B640:B661"/>
    <mergeCell ref="B662:B697"/>
    <mergeCell ref="B698:B731"/>
    <mergeCell ref="A53:A67"/>
    <mergeCell ref="A68:A80"/>
    <mergeCell ref="B68:B80"/>
    <mergeCell ref="A81:A100"/>
    <mergeCell ref="B81:B100"/>
    <mergeCell ref="A101:A124"/>
    <mergeCell ref="B101:B124"/>
    <mergeCell ref="A125:A139"/>
    <mergeCell ref="B125:B139"/>
    <mergeCell ref="A140:A151"/>
    <mergeCell ref="B140:B151"/>
    <mergeCell ref="A249:A285"/>
    <mergeCell ref="B249:B285"/>
    <mergeCell ref="B286:B334"/>
    <mergeCell ref="A286:A334"/>
    <mergeCell ref="A335:A392"/>
    <mergeCell ref="B335:B392"/>
    <mergeCell ref="C372:C375"/>
    <mergeCell ref="D372:D375"/>
    <mergeCell ref="C376:C384"/>
    <mergeCell ref="D376:D384"/>
    <mergeCell ref="C386:C391"/>
    <mergeCell ref="D386:D391"/>
    <mergeCell ref="C396:C398"/>
    <mergeCell ref="D396:D398"/>
    <mergeCell ref="C399:C404"/>
    <mergeCell ref="D399:D404"/>
    <mergeCell ref="D405:D409"/>
    <mergeCell ref="C405:C409"/>
    <mergeCell ref="C410:C413"/>
    <mergeCell ref="C414:C415"/>
    <mergeCell ref="C416:C420"/>
    <mergeCell ref="C421:C422"/>
    <mergeCell ref="C426:C427"/>
    <mergeCell ref="C428:C430"/>
    <mergeCell ref="C517:C522"/>
    <mergeCell ref="D517:D522"/>
    <mergeCell ref="C523:C524"/>
    <mergeCell ref="D523:D524"/>
    <mergeCell ref="C525:C529"/>
    <mergeCell ref="D525:D529"/>
    <mergeCell ref="D530:D534"/>
    <mergeCell ref="D586:D587"/>
    <mergeCell ref="D588:D590"/>
    <mergeCell ref="D591:D592"/>
    <mergeCell ref="C710:C712"/>
    <mergeCell ref="C713:C716"/>
    <mergeCell ref="C717:C718"/>
    <mergeCell ref="C719:C720"/>
    <mergeCell ref="C722:C728"/>
    <mergeCell ref="C730:C731"/>
    <mergeCell ref="C735:C736"/>
    <mergeCell ref="C737:C738"/>
    <mergeCell ref="C739:C744"/>
    <mergeCell ref="C746:C747"/>
    <mergeCell ref="C751:C753"/>
    <mergeCell ref="C754:C758"/>
    <mergeCell ref="C759:C762"/>
    <mergeCell ref="C763:C765"/>
    <mergeCell ref="C766:C773"/>
    <mergeCell ref="C775:C779"/>
    <mergeCell ref="C780:C781"/>
    <mergeCell ref="C782:C789"/>
    <mergeCell ref="C790:C793"/>
    <mergeCell ref="C795:C797"/>
    <mergeCell ref="C855:C860"/>
    <mergeCell ref="C895:C898"/>
    <mergeCell ref="C899:C902"/>
    <mergeCell ref="C903:C908"/>
    <mergeCell ref="C909:C912"/>
    <mergeCell ref="C914:C917"/>
    <mergeCell ref="C918:C921"/>
    <mergeCell ref="C923:C925"/>
    <mergeCell ref="C926:C929"/>
    <mergeCell ref="C861:C867"/>
    <mergeCell ref="C868:C874"/>
    <mergeCell ref="C875:C878"/>
    <mergeCell ref="C879:C881"/>
    <mergeCell ref="C882:C883"/>
    <mergeCell ref="C884:C889"/>
    <mergeCell ref="C890:C894"/>
    <mergeCell ref="C530:C534"/>
    <mergeCell ref="C535:C538"/>
    <mergeCell ref="C540:C541"/>
    <mergeCell ref="C543:C544"/>
    <mergeCell ref="C545:C546"/>
    <mergeCell ref="C547:C549"/>
    <mergeCell ref="C550:C552"/>
    <mergeCell ref="C553:C555"/>
    <mergeCell ref="C556:C557"/>
    <mergeCell ref="C563:C566"/>
    <mergeCell ref="C567:C569"/>
    <mergeCell ref="C570:C572"/>
    <mergeCell ref="C577:C580"/>
    <mergeCell ref="C581:C582"/>
    <mergeCell ref="C583:C584"/>
    <mergeCell ref="C586:C587"/>
    <mergeCell ref="C588:C590"/>
    <mergeCell ref="C591:C592"/>
    <mergeCell ref="C593:C595"/>
    <mergeCell ref="C596:C599"/>
    <mergeCell ref="C600:C601"/>
    <mergeCell ref="C603:C604"/>
    <mergeCell ref="C606:C607"/>
    <mergeCell ref="C609:C614"/>
    <mergeCell ref="C615:C617"/>
    <mergeCell ref="C620:C622"/>
    <mergeCell ref="C623:C629"/>
    <mergeCell ref="C630:C635"/>
    <mergeCell ref="C636:C639"/>
    <mergeCell ref="C641:C642"/>
    <mergeCell ref="C643:C644"/>
    <mergeCell ref="C645:C646"/>
    <mergeCell ref="C648:C650"/>
    <mergeCell ref="C652:C656"/>
    <mergeCell ref="C658:C659"/>
    <mergeCell ref="C660:C661"/>
    <mergeCell ref="C662:C664"/>
    <mergeCell ref="C665:C666"/>
    <mergeCell ref="C668:C670"/>
    <mergeCell ref="C673:C675"/>
    <mergeCell ref="C676:C680"/>
    <mergeCell ref="C681:C686"/>
    <mergeCell ref="C687:C690"/>
    <mergeCell ref="C691:C694"/>
    <mergeCell ref="C695:C697"/>
    <mergeCell ref="C699:C701"/>
    <mergeCell ref="C702:C704"/>
    <mergeCell ref="C705:C706"/>
    <mergeCell ref="C707:C709"/>
    <mergeCell ref="D722:D728"/>
    <mergeCell ref="D730:D731"/>
    <mergeCell ref="D735:D736"/>
    <mergeCell ref="D737:D738"/>
    <mergeCell ref="D739:D744"/>
    <mergeCell ref="D746:D747"/>
    <mergeCell ref="D751:D753"/>
    <mergeCell ref="D754:D758"/>
    <mergeCell ref="D759:D762"/>
    <mergeCell ref="D763:D765"/>
    <mergeCell ref="D766:D773"/>
    <mergeCell ref="D775:D779"/>
    <mergeCell ref="D780:D781"/>
    <mergeCell ref="D782:D789"/>
    <mergeCell ref="D790:D793"/>
    <mergeCell ref="D795:D797"/>
    <mergeCell ref="D855:D860"/>
    <mergeCell ref="D861:D867"/>
    <mergeCell ref="D868:D874"/>
    <mergeCell ref="D875:D878"/>
    <mergeCell ref="D879:D881"/>
    <mergeCell ref="D914:D917"/>
    <mergeCell ref="D918:D921"/>
    <mergeCell ref="D923:D925"/>
    <mergeCell ref="D926:D929"/>
    <mergeCell ref="D882:D883"/>
    <mergeCell ref="D884:D889"/>
    <mergeCell ref="D890:D894"/>
    <mergeCell ref="D895:D898"/>
    <mergeCell ref="D899:D902"/>
    <mergeCell ref="D903:D908"/>
    <mergeCell ref="D909:D912"/>
    <mergeCell ref="D535:D538"/>
    <mergeCell ref="D540:D541"/>
    <mergeCell ref="D543:D544"/>
    <mergeCell ref="D545:D546"/>
    <mergeCell ref="D547:D549"/>
    <mergeCell ref="D550:D552"/>
    <mergeCell ref="D553:D555"/>
    <mergeCell ref="D556:D557"/>
    <mergeCell ref="D563:D566"/>
    <mergeCell ref="D567:D569"/>
    <mergeCell ref="D570:D572"/>
    <mergeCell ref="D577:D580"/>
    <mergeCell ref="D581:D582"/>
    <mergeCell ref="D583:D584"/>
    <mergeCell ref="D593:D595"/>
    <mergeCell ref="D596:D599"/>
    <mergeCell ref="D600:D601"/>
    <mergeCell ref="D603:D604"/>
    <mergeCell ref="D606:D607"/>
    <mergeCell ref="D609:D614"/>
    <mergeCell ref="D615:D617"/>
    <mergeCell ref="D620:D622"/>
    <mergeCell ref="D623:D629"/>
    <mergeCell ref="D630:D635"/>
    <mergeCell ref="D636:D639"/>
    <mergeCell ref="D641:D642"/>
    <mergeCell ref="D643:D644"/>
    <mergeCell ref="D645:D646"/>
    <mergeCell ref="D648:D650"/>
    <mergeCell ref="D652:D656"/>
    <mergeCell ref="D658:D659"/>
    <mergeCell ref="D660:D661"/>
    <mergeCell ref="D662:D664"/>
    <mergeCell ref="D665:D666"/>
    <mergeCell ref="D668:D670"/>
    <mergeCell ref="D673:D675"/>
    <mergeCell ref="D676:D680"/>
    <mergeCell ref="D681:D686"/>
    <mergeCell ref="D687:D690"/>
    <mergeCell ref="D691:D694"/>
    <mergeCell ref="D695:D697"/>
    <mergeCell ref="D699:D701"/>
    <mergeCell ref="D702:D704"/>
    <mergeCell ref="D705:D706"/>
    <mergeCell ref="D707:D709"/>
    <mergeCell ref="D710:D712"/>
    <mergeCell ref="D713:D716"/>
    <mergeCell ref="D717:D718"/>
    <mergeCell ref="D719:D720"/>
    <mergeCell ref="J13:J14"/>
    <mergeCell ref="K13:K14"/>
    <mergeCell ref="L13:L14"/>
    <mergeCell ref="A1:L1"/>
    <mergeCell ref="A2:B2"/>
    <mergeCell ref="C2:C3"/>
    <mergeCell ref="D2:I2"/>
    <mergeCell ref="J2:K2"/>
    <mergeCell ref="L2:L3"/>
    <mergeCell ref="B4:B9"/>
    <mergeCell ref="C19:C20"/>
    <mergeCell ref="D19:D20"/>
    <mergeCell ref="J19:J20"/>
    <mergeCell ref="K19:K20"/>
    <mergeCell ref="L19:L20"/>
    <mergeCell ref="A4:A9"/>
    <mergeCell ref="A10:A15"/>
    <mergeCell ref="B10:B15"/>
    <mergeCell ref="C13:C14"/>
    <mergeCell ref="D13:D14"/>
    <mergeCell ref="A16:A23"/>
    <mergeCell ref="B16:B23"/>
    <mergeCell ref="C25:C26"/>
    <mergeCell ref="D25:D26"/>
    <mergeCell ref="J25:J26"/>
    <mergeCell ref="K25:K26"/>
    <mergeCell ref="L25:L26"/>
    <mergeCell ref="K27:K31"/>
    <mergeCell ref="L27:L31"/>
    <mergeCell ref="A37:A44"/>
    <mergeCell ref="A45:A52"/>
    <mergeCell ref="B45:B52"/>
    <mergeCell ref="C49:C51"/>
    <mergeCell ref="D49:D51"/>
    <mergeCell ref="J27:J31"/>
    <mergeCell ref="J35:J36"/>
    <mergeCell ref="K35:K36"/>
    <mergeCell ref="L35:L36"/>
    <mergeCell ref="J41:J42"/>
    <mergeCell ref="K41:K42"/>
    <mergeCell ref="L41:L42"/>
    <mergeCell ref="K88:K89"/>
    <mergeCell ref="L88:L89"/>
    <mergeCell ref="J81:J82"/>
    <mergeCell ref="K81:K82"/>
    <mergeCell ref="L81:L82"/>
    <mergeCell ref="J85:J86"/>
    <mergeCell ref="K85:K86"/>
    <mergeCell ref="L85:L86"/>
    <mergeCell ref="J88:J89"/>
    <mergeCell ref="K99:K100"/>
    <mergeCell ref="L99:L100"/>
    <mergeCell ref="J92:J94"/>
    <mergeCell ref="K92:K94"/>
    <mergeCell ref="L92:L94"/>
    <mergeCell ref="J96:J98"/>
    <mergeCell ref="K96:K98"/>
    <mergeCell ref="L96:L98"/>
    <mergeCell ref="J99:J100"/>
    <mergeCell ref="K309:K312"/>
    <mergeCell ref="L309:L312"/>
    <mergeCell ref="J302:J305"/>
    <mergeCell ref="K302:K305"/>
    <mergeCell ref="L302:L305"/>
    <mergeCell ref="J306:J308"/>
    <mergeCell ref="K306:K308"/>
    <mergeCell ref="L306:L308"/>
    <mergeCell ref="J309:J312"/>
    <mergeCell ref="C466:C473"/>
    <mergeCell ref="C474:C480"/>
    <mergeCell ref="C456:C458"/>
    <mergeCell ref="D456:D458"/>
    <mergeCell ref="C459:C461"/>
    <mergeCell ref="D459:D461"/>
    <mergeCell ref="C462:C464"/>
    <mergeCell ref="D462:D464"/>
    <mergeCell ref="D466:D473"/>
    <mergeCell ref="D474:D480"/>
    <mergeCell ref="C431:C434"/>
    <mergeCell ref="C436:C443"/>
    <mergeCell ref="C444:C446"/>
    <mergeCell ref="C448:C452"/>
    <mergeCell ref="D448:D452"/>
    <mergeCell ref="C453:C454"/>
    <mergeCell ref="D453:D454"/>
    <mergeCell ref="D481:D483"/>
    <mergeCell ref="C481:C483"/>
    <mergeCell ref="C484:C487"/>
    <mergeCell ref="D484:D487"/>
    <mergeCell ref="C488:C490"/>
    <mergeCell ref="D488:D490"/>
    <mergeCell ref="C493:C494"/>
    <mergeCell ref="D493:D494"/>
    <mergeCell ref="D410:D413"/>
    <mergeCell ref="D414:D415"/>
    <mergeCell ref="D416:D420"/>
    <mergeCell ref="D421:D422"/>
    <mergeCell ref="D426:D427"/>
    <mergeCell ref="D428:D430"/>
    <mergeCell ref="D431:D434"/>
    <mergeCell ref="D436:D443"/>
    <mergeCell ref="D444:D446"/>
    <mergeCell ref="J453:J454"/>
    <mergeCell ref="K453:K454"/>
    <mergeCell ref="L453:L454"/>
    <mergeCell ref="K456:K458"/>
    <mergeCell ref="L456:L458"/>
    <mergeCell ref="J456:J458"/>
    <mergeCell ref="J459:J461"/>
    <mergeCell ref="K459:K461"/>
    <mergeCell ref="L459:L461"/>
    <mergeCell ref="J462:J464"/>
    <mergeCell ref="K462:K464"/>
    <mergeCell ref="L462:L464"/>
    <mergeCell ref="K481:K483"/>
    <mergeCell ref="L481:L483"/>
    <mergeCell ref="J466:J473"/>
    <mergeCell ref="K466:K473"/>
    <mergeCell ref="L466:L473"/>
    <mergeCell ref="J474:J480"/>
    <mergeCell ref="K474:K480"/>
    <mergeCell ref="L474:L480"/>
    <mergeCell ref="J481:J483"/>
    <mergeCell ref="K545:K546"/>
    <mergeCell ref="L545:L546"/>
    <mergeCell ref="J547:J549"/>
    <mergeCell ref="K547:K549"/>
    <mergeCell ref="L547:L549"/>
    <mergeCell ref="K583:K584"/>
    <mergeCell ref="L583:L584"/>
    <mergeCell ref="J577:J580"/>
    <mergeCell ref="K577:K580"/>
    <mergeCell ref="L577:L580"/>
    <mergeCell ref="J581:J582"/>
    <mergeCell ref="K581:K582"/>
    <mergeCell ref="L581:L582"/>
    <mergeCell ref="J583:J584"/>
    <mergeCell ref="K591:K592"/>
    <mergeCell ref="L591:L592"/>
    <mergeCell ref="J586:J587"/>
    <mergeCell ref="K586:K587"/>
    <mergeCell ref="L586:L587"/>
    <mergeCell ref="J588:J590"/>
    <mergeCell ref="K588:K590"/>
    <mergeCell ref="L588:L590"/>
    <mergeCell ref="J591:J592"/>
    <mergeCell ref="K600:K601"/>
    <mergeCell ref="L600:L601"/>
    <mergeCell ref="J593:J595"/>
    <mergeCell ref="K593:K595"/>
    <mergeCell ref="L593:L595"/>
    <mergeCell ref="J596:J599"/>
    <mergeCell ref="K596:K599"/>
    <mergeCell ref="L596:L599"/>
    <mergeCell ref="J600:J601"/>
    <mergeCell ref="K609:K614"/>
    <mergeCell ref="L609:L614"/>
    <mergeCell ref="J603:J604"/>
    <mergeCell ref="K603:K604"/>
    <mergeCell ref="L603:L604"/>
    <mergeCell ref="J606:J607"/>
    <mergeCell ref="K606:K607"/>
    <mergeCell ref="L606:L607"/>
    <mergeCell ref="J609:J614"/>
    <mergeCell ref="K641:K642"/>
    <mergeCell ref="L641:L642"/>
    <mergeCell ref="J630:J635"/>
    <mergeCell ref="K630:K635"/>
    <mergeCell ref="L630:L635"/>
    <mergeCell ref="J636:J639"/>
    <mergeCell ref="K636:K639"/>
    <mergeCell ref="L636:L639"/>
    <mergeCell ref="J641:J642"/>
    <mergeCell ref="K648:K650"/>
    <mergeCell ref="L648:L650"/>
    <mergeCell ref="J643:J644"/>
    <mergeCell ref="K643:K644"/>
    <mergeCell ref="L643:L644"/>
    <mergeCell ref="J645:J646"/>
    <mergeCell ref="K645:K646"/>
    <mergeCell ref="L645:L646"/>
    <mergeCell ref="J648:J650"/>
    <mergeCell ref="K660:K661"/>
    <mergeCell ref="L660:L661"/>
    <mergeCell ref="J652:J656"/>
    <mergeCell ref="K652:K656"/>
    <mergeCell ref="L652:L656"/>
    <mergeCell ref="J658:J659"/>
    <mergeCell ref="K658:K659"/>
    <mergeCell ref="L658:L659"/>
    <mergeCell ref="J660:J661"/>
    <mergeCell ref="K623:K629"/>
    <mergeCell ref="L623:L629"/>
    <mergeCell ref="J615:J617"/>
    <mergeCell ref="K615:K617"/>
    <mergeCell ref="L615:L617"/>
    <mergeCell ref="J620:J622"/>
    <mergeCell ref="K620:K622"/>
    <mergeCell ref="L620:L622"/>
    <mergeCell ref="J623:J629"/>
    <mergeCell ref="K751:K753"/>
    <mergeCell ref="L751:L753"/>
    <mergeCell ref="J739:J744"/>
    <mergeCell ref="K739:K744"/>
    <mergeCell ref="L739:L744"/>
    <mergeCell ref="J746:J747"/>
    <mergeCell ref="K746:K747"/>
    <mergeCell ref="L746:L747"/>
    <mergeCell ref="J751:J753"/>
    <mergeCell ref="K763:K765"/>
    <mergeCell ref="L763:L765"/>
    <mergeCell ref="J754:J758"/>
    <mergeCell ref="K754:K758"/>
    <mergeCell ref="L754:L758"/>
    <mergeCell ref="J759:J762"/>
    <mergeCell ref="K759:K762"/>
    <mergeCell ref="L759:L762"/>
    <mergeCell ref="J763:J765"/>
    <mergeCell ref="K780:K781"/>
    <mergeCell ref="L780:L781"/>
    <mergeCell ref="J766:J773"/>
    <mergeCell ref="K766:K773"/>
    <mergeCell ref="L766:L773"/>
    <mergeCell ref="J775:J779"/>
    <mergeCell ref="K775:K779"/>
    <mergeCell ref="L775:L779"/>
    <mergeCell ref="J780:J781"/>
    <mergeCell ref="K795:K797"/>
    <mergeCell ref="L795:L797"/>
    <mergeCell ref="J782:J789"/>
    <mergeCell ref="K782:K789"/>
    <mergeCell ref="L782:L789"/>
    <mergeCell ref="J790:J793"/>
    <mergeCell ref="K790:K793"/>
    <mergeCell ref="L790:L793"/>
    <mergeCell ref="J795:J797"/>
    <mergeCell ref="J855:J860"/>
    <mergeCell ref="K855:K860"/>
    <mergeCell ref="J861:J867"/>
    <mergeCell ref="K861:K867"/>
    <mergeCell ref="J868:J874"/>
    <mergeCell ref="K868:K874"/>
    <mergeCell ref="K875:K878"/>
    <mergeCell ref="J875:J878"/>
    <mergeCell ref="J879:J881"/>
    <mergeCell ref="J882:J883"/>
    <mergeCell ref="J884:J889"/>
    <mergeCell ref="K884:K889"/>
    <mergeCell ref="J890:J894"/>
    <mergeCell ref="K890:K894"/>
    <mergeCell ref="J895:J898"/>
    <mergeCell ref="K895:K898"/>
    <mergeCell ref="J899:J902"/>
    <mergeCell ref="K899:K902"/>
    <mergeCell ref="J903:J908"/>
    <mergeCell ref="K903:K908"/>
    <mergeCell ref="K909:K912"/>
    <mergeCell ref="J926:J929"/>
    <mergeCell ref="K926:K929"/>
    <mergeCell ref="J909:J912"/>
    <mergeCell ref="J914:J917"/>
    <mergeCell ref="K914:K917"/>
    <mergeCell ref="J918:J921"/>
    <mergeCell ref="K918:K921"/>
    <mergeCell ref="J923:J925"/>
    <mergeCell ref="K923:K925"/>
    <mergeCell ref="J484:J487"/>
    <mergeCell ref="K484:K487"/>
    <mergeCell ref="L484:L487"/>
    <mergeCell ref="J488:J490"/>
    <mergeCell ref="K488:K490"/>
    <mergeCell ref="L488:L490"/>
    <mergeCell ref="J493:J494"/>
    <mergeCell ref="K493:K494"/>
    <mergeCell ref="L493:L494"/>
    <mergeCell ref="L540:L541"/>
    <mergeCell ref="J543:J544"/>
    <mergeCell ref="K543:K544"/>
    <mergeCell ref="L543:L544"/>
    <mergeCell ref="J545:J546"/>
    <mergeCell ref="K556:K557"/>
    <mergeCell ref="L556:L557"/>
    <mergeCell ref="J550:J552"/>
    <mergeCell ref="K550:K552"/>
    <mergeCell ref="L550:L552"/>
    <mergeCell ref="J553:J555"/>
    <mergeCell ref="K553:K555"/>
    <mergeCell ref="L553:L555"/>
    <mergeCell ref="J556:J557"/>
    <mergeCell ref="K570:K572"/>
    <mergeCell ref="L570:L572"/>
    <mergeCell ref="J563:J566"/>
    <mergeCell ref="K563:K566"/>
    <mergeCell ref="L563:L566"/>
    <mergeCell ref="J567:J569"/>
    <mergeCell ref="K567:K569"/>
    <mergeCell ref="L567:L569"/>
    <mergeCell ref="J570:J572"/>
    <mergeCell ref="K879:K881"/>
    <mergeCell ref="K882:K883"/>
    <mergeCell ref="L882:L883"/>
    <mergeCell ref="K668:K670"/>
    <mergeCell ref="L668:L670"/>
    <mergeCell ref="J662:J664"/>
    <mergeCell ref="K662:K664"/>
    <mergeCell ref="L662:L664"/>
    <mergeCell ref="J665:J666"/>
    <mergeCell ref="K665:K666"/>
    <mergeCell ref="L665:L666"/>
    <mergeCell ref="J668:J670"/>
    <mergeCell ref="K681:K686"/>
    <mergeCell ref="L681:L686"/>
    <mergeCell ref="J673:J675"/>
    <mergeCell ref="K673:K675"/>
    <mergeCell ref="L673:L675"/>
    <mergeCell ref="J676:J680"/>
    <mergeCell ref="K676:K680"/>
    <mergeCell ref="L676:L680"/>
    <mergeCell ref="J681:J686"/>
    <mergeCell ref="K695:K697"/>
    <mergeCell ref="L695:L697"/>
    <mergeCell ref="J687:J690"/>
    <mergeCell ref="K687:K690"/>
    <mergeCell ref="L687:L690"/>
    <mergeCell ref="J691:J694"/>
    <mergeCell ref="K691:K694"/>
    <mergeCell ref="L691:L694"/>
    <mergeCell ref="J695:J697"/>
    <mergeCell ref="K705:K706"/>
    <mergeCell ref="L705:L706"/>
    <mergeCell ref="J699:J701"/>
    <mergeCell ref="K699:K701"/>
    <mergeCell ref="L699:L701"/>
    <mergeCell ref="J702:J704"/>
    <mergeCell ref="K702:K704"/>
    <mergeCell ref="L702:L704"/>
    <mergeCell ref="J705:J706"/>
    <mergeCell ref="K713:K716"/>
    <mergeCell ref="L713:L716"/>
    <mergeCell ref="J707:J709"/>
    <mergeCell ref="K707:K709"/>
    <mergeCell ref="L707:L709"/>
    <mergeCell ref="J710:J712"/>
    <mergeCell ref="K710:K712"/>
    <mergeCell ref="L710:L712"/>
    <mergeCell ref="J713:J716"/>
    <mergeCell ref="K722:K728"/>
    <mergeCell ref="L722:L728"/>
    <mergeCell ref="J717:J718"/>
    <mergeCell ref="K717:K718"/>
    <mergeCell ref="L717:L718"/>
    <mergeCell ref="J719:J720"/>
    <mergeCell ref="K719:K720"/>
    <mergeCell ref="L719:L720"/>
    <mergeCell ref="J722:J728"/>
    <mergeCell ref="K737:K738"/>
    <mergeCell ref="L737:L738"/>
    <mergeCell ref="J730:J731"/>
    <mergeCell ref="K730:K731"/>
    <mergeCell ref="L730:L731"/>
    <mergeCell ref="J735:J736"/>
    <mergeCell ref="K735:K736"/>
    <mergeCell ref="L735:L736"/>
    <mergeCell ref="J737:J738"/>
    <mergeCell ref="K130:K131"/>
    <mergeCell ref="L130:L131"/>
    <mergeCell ref="J115:J117"/>
    <mergeCell ref="K115:K117"/>
    <mergeCell ref="L115:L117"/>
    <mergeCell ref="J118:J122"/>
    <mergeCell ref="K118:K122"/>
    <mergeCell ref="L118:L122"/>
    <mergeCell ref="J130:J131"/>
    <mergeCell ref="K57:K58"/>
    <mergeCell ref="L57:L58"/>
    <mergeCell ref="J49:J51"/>
    <mergeCell ref="K49:K51"/>
    <mergeCell ref="L49:L51"/>
    <mergeCell ref="J54:J56"/>
    <mergeCell ref="K54:K56"/>
    <mergeCell ref="L54:L56"/>
    <mergeCell ref="J57:J58"/>
    <mergeCell ref="K68:K69"/>
    <mergeCell ref="L68:L69"/>
    <mergeCell ref="J59:J62"/>
    <mergeCell ref="K59:K62"/>
    <mergeCell ref="L59:L62"/>
    <mergeCell ref="J63:J66"/>
    <mergeCell ref="K63:K66"/>
    <mergeCell ref="L63:L66"/>
    <mergeCell ref="J68:J69"/>
    <mergeCell ref="K78:K79"/>
    <mergeCell ref="L78:L79"/>
    <mergeCell ref="J72:J74"/>
    <mergeCell ref="K72:K74"/>
    <mergeCell ref="L72:L74"/>
    <mergeCell ref="J75:J76"/>
    <mergeCell ref="K75:K76"/>
    <mergeCell ref="L75:L76"/>
    <mergeCell ref="J78:J79"/>
    <mergeCell ref="J132:J136"/>
    <mergeCell ref="K132:K136"/>
    <mergeCell ref="L132:L136"/>
    <mergeCell ref="K267:K271"/>
    <mergeCell ref="L267:L271"/>
    <mergeCell ref="J255:J256"/>
    <mergeCell ref="K255:K256"/>
    <mergeCell ref="L255:L256"/>
    <mergeCell ref="J258:J266"/>
    <mergeCell ref="K258:K266"/>
    <mergeCell ref="L258:L266"/>
    <mergeCell ref="J267:J271"/>
    <mergeCell ref="K112:K114"/>
    <mergeCell ref="L112:L114"/>
    <mergeCell ref="J103:J104"/>
    <mergeCell ref="K103:K104"/>
    <mergeCell ref="L103:L104"/>
    <mergeCell ref="J107:J111"/>
    <mergeCell ref="K107:K111"/>
    <mergeCell ref="L107:L111"/>
    <mergeCell ref="J112:J114"/>
    <mergeCell ref="K147:K148"/>
    <mergeCell ref="L147:L148"/>
    <mergeCell ref="J143:J144"/>
    <mergeCell ref="K143:K144"/>
    <mergeCell ref="L143:L144"/>
    <mergeCell ref="J145:J146"/>
    <mergeCell ref="K145:K146"/>
    <mergeCell ref="L145:L146"/>
    <mergeCell ref="J147:J148"/>
    <mergeCell ref="K252:K254"/>
    <mergeCell ref="L252:L254"/>
    <mergeCell ref="J149:J150"/>
    <mergeCell ref="K149:K150"/>
    <mergeCell ref="L149:L150"/>
    <mergeCell ref="J250:J251"/>
    <mergeCell ref="K250:K251"/>
    <mergeCell ref="L250:L251"/>
    <mergeCell ref="J252:J254"/>
    <mergeCell ref="J283:J284"/>
    <mergeCell ref="K283:K284"/>
    <mergeCell ref="L283:L284"/>
    <mergeCell ref="C320:C324"/>
    <mergeCell ref="C325:C332"/>
    <mergeCell ref="C296:C297"/>
    <mergeCell ref="C298:C301"/>
    <mergeCell ref="C302:C305"/>
    <mergeCell ref="C306:C308"/>
    <mergeCell ref="C309:C312"/>
    <mergeCell ref="C314:C315"/>
    <mergeCell ref="C316:C319"/>
    <mergeCell ref="C85:C86"/>
    <mergeCell ref="C88:C89"/>
    <mergeCell ref="C92:C94"/>
    <mergeCell ref="C96:C98"/>
    <mergeCell ref="C99:C100"/>
    <mergeCell ref="C103:C104"/>
    <mergeCell ref="C107:C111"/>
    <mergeCell ref="C112:C114"/>
    <mergeCell ref="C115:C117"/>
    <mergeCell ref="C130:C131"/>
    <mergeCell ref="C132:C136"/>
    <mergeCell ref="C143:C144"/>
    <mergeCell ref="C145:C146"/>
    <mergeCell ref="C147:C148"/>
    <mergeCell ref="C149:C150"/>
    <mergeCell ref="C250:C251"/>
    <mergeCell ref="D250:D251"/>
    <mergeCell ref="C252:C254"/>
    <mergeCell ref="D252:D254"/>
    <mergeCell ref="C255:C256"/>
    <mergeCell ref="D255:D256"/>
    <mergeCell ref="C258:C266"/>
    <mergeCell ref="D258:D266"/>
    <mergeCell ref="C267:C271"/>
    <mergeCell ref="D267:D271"/>
    <mergeCell ref="C273:C276"/>
    <mergeCell ref="D273:D276"/>
    <mergeCell ref="D277:D279"/>
    <mergeCell ref="C277:C279"/>
    <mergeCell ref="C280:C282"/>
    <mergeCell ref="C283:C284"/>
    <mergeCell ref="C286:C287"/>
    <mergeCell ref="C288:C290"/>
    <mergeCell ref="C291:C292"/>
    <mergeCell ref="C293:C295"/>
    <mergeCell ref="D298:D301"/>
    <mergeCell ref="D302:D305"/>
    <mergeCell ref="D306:D308"/>
    <mergeCell ref="D309:D312"/>
    <mergeCell ref="D314:D315"/>
    <mergeCell ref="D316:D319"/>
    <mergeCell ref="D320:D324"/>
    <mergeCell ref="D325:D332"/>
    <mergeCell ref="D280:D282"/>
    <mergeCell ref="D283:D284"/>
    <mergeCell ref="D286:D287"/>
    <mergeCell ref="D288:D290"/>
    <mergeCell ref="D291:D292"/>
    <mergeCell ref="D293:D295"/>
    <mergeCell ref="D296:D297"/>
    <mergeCell ref="K366:K371"/>
    <mergeCell ref="L366:L371"/>
    <mergeCell ref="J353:J356"/>
    <mergeCell ref="K353:K356"/>
    <mergeCell ref="L353:L356"/>
    <mergeCell ref="J357:J365"/>
    <mergeCell ref="K357:K365"/>
    <mergeCell ref="L357:L365"/>
    <mergeCell ref="J366:J371"/>
    <mergeCell ref="J314:J315"/>
    <mergeCell ref="K314:K315"/>
    <mergeCell ref="L314:L315"/>
    <mergeCell ref="J316:J319"/>
    <mergeCell ref="K316:K319"/>
    <mergeCell ref="L316:L319"/>
    <mergeCell ref="J320:J324"/>
    <mergeCell ref="K320:K324"/>
    <mergeCell ref="L320:L324"/>
    <mergeCell ref="C333:C334"/>
    <mergeCell ref="D333:D334"/>
    <mergeCell ref="J333:J334"/>
    <mergeCell ref="K333:K334"/>
    <mergeCell ref="L333:L334"/>
    <mergeCell ref="C336:C337"/>
    <mergeCell ref="D336:D337"/>
    <mergeCell ref="J336:J337"/>
    <mergeCell ref="K336:K337"/>
    <mergeCell ref="L336:L337"/>
    <mergeCell ref="D338:D339"/>
    <mergeCell ref="L338:L339"/>
    <mergeCell ref="J338:J339"/>
    <mergeCell ref="K338:K339"/>
    <mergeCell ref="J340:J342"/>
    <mergeCell ref="K340:K342"/>
    <mergeCell ref="L340:L342"/>
    <mergeCell ref="K343:K344"/>
    <mergeCell ref="L343:L344"/>
    <mergeCell ref="C349:C352"/>
    <mergeCell ref="D349:D352"/>
    <mergeCell ref="C353:C356"/>
    <mergeCell ref="D353:D356"/>
    <mergeCell ref="C357:C365"/>
    <mergeCell ref="D357:D365"/>
    <mergeCell ref="C366:C371"/>
    <mergeCell ref="D366:D371"/>
    <mergeCell ref="C338:C339"/>
    <mergeCell ref="C340:C342"/>
    <mergeCell ref="D340:D342"/>
    <mergeCell ref="C343:C344"/>
    <mergeCell ref="D343:D344"/>
    <mergeCell ref="C345:C348"/>
    <mergeCell ref="D345:D348"/>
    <mergeCell ref="J343:J344"/>
    <mergeCell ref="J345:J348"/>
    <mergeCell ref="K345:K348"/>
    <mergeCell ref="L345:L348"/>
    <mergeCell ref="J349:J352"/>
    <mergeCell ref="K349:K352"/>
    <mergeCell ref="L349:L352"/>
    <mergeCell ref="K376:K384"/>
    <mergeCell ref="L376:L384"/>
    <mergeCell ref="J325:J332"/>
    <mergeCell ref="K325:K332"/>
    <mergeCell ref="L325:L332"/>
    <mergeCell ref="J372:J375"/>
    <mergeCell ref="K372:K375"/>
    <mergeCell ref="L372:L375"/>
    <mergeCell ref="J376:J384"/>
    <mergeCell ref="K280:K282"/>
    <mergeCell ref="L280:L282"/>
    <mergeCell ref="J273:J276"/>
    <mergeCell ref="K273:K276"/>
    <mergeCell ref="L273:L276"/>
    <mergeCell ref="J277:J279"/>
    <mergeCell ref="K277:K279"/>
    <mergeCell ref="L277:L279"/>
    <mergeCell ref="J280:J282"/>
    <mergeCell ref="K291:K292"/>
    <mergeCell ref="L291:L292"/>
    <mergeCell ref="J286:J287"/>
    <mergeCell ref="K286:K287"/>
    <mergeCell ref="L286:L287"/>
    <mergeCell ref="J288:J290"/>
    <mergeCell ref="K288:K290"/>
    <mergeCell ref="L288:L290"/>
    <mergeCell ref="J291:J292"/>
    <mergeCell ref="K298:K301"/>
    <mergeCell ref="L298:L301"/>
    <mergeCell ref="J293:J295"/>
    <mergeCell ref="K293:K295"/>
    <mergeCell ref="L293:L295"/>
    <mergeCell ref="J296:J297"/>
    <mergeCell ref="K296:K297"/>
    <mergeCell ref="L296:L297"/>
    <mergeCell ref="J298:J301"/>
    <mergeCell ref="J405:J409"/>
    <mergeCell ref="K405:K409"/>
    <mergeCell ref="L405:L409"/>
    <mergeCell ref="K444:K446"/>
    <mergeCell ref="L444:L446"/>
    <mergeCell ref="J431:J434"/>
    <mergeCell ref="K431:K434"/>
    <mergeCell ref="L431:L434"/>
    <mergeCell ref="J436:J443"/>
    <mergeCell ref="K436:K443"/>
    <mergeCell ref="L436:L443"/>
    <mergeCell ref="J444:J446"/>
    <mergeCell ref="K399:K404"/>
    <mergeCell ref="L399:L404"/>
    <mergeCell ref="J386:J391"/>
    <mergeCell ref="K386:K391"/>
    <mergeCell ref="L386:L391"/>
    <mergeCell ref="J396:J398"/>
    <mergeCell ref="K396:K398"/>
    <mergeCell ref="L396:L398"/>
    <mergeCell ref="J399:J404"/>
    <mergeCell ref="K416:K420"/>
    <mergeCell ref="L416:L420"/>
    <mergeCell ref="J410:J413"/>
    <mergeCell ref="K410:K413"/>
    <mergeCell ref="L410:L413"/>
    <mergeCell ref="J414:J415"/>
    <mergeCell ref="K414:K415"/>
    <mergeCell ref="L414:L415"/>
    <mergeCell ref="J416:J420"/>
    <mergeCell ref="K428:K430"/>
    <mergeCell ref="L428:L430"/>
    <mergeCell ref="J421:J422"/>
    <mergeCell ref="K421:K422"/>
    <mergeCell ref="L421:L422"/>
    <mergeCell ref="J426:J427"/>
    <mergeCell ref="K426:K427"/>
    <mergeCell ref="L426:L427"/>
    <mergeCell ref="J428:J430"/>
    <mergeCell ref="J448:J452"/>
    <mergeCell ref="K448:K452"/>
    <mergeCell ref="L448:L452"/>
    <mergeCell ref="K535:K538"/>
    <mergeCell ref="L535:L538"/>
    <mergeCell ref="J525:J529"/>
    <mergeCell ref="K525:K529"/>
    <mergeCell ref="L525:L529"/>
    <mergeCell ref="J530:J534"/>
    <mergeCell ref="K530:K534"/>
    <mergeCell ref="L530:L534"/>
    <mergeCell ref="J535:J538"/>
    <mergeCell ref="K500:K501"/>
    <mergeCell ref="L500:L501"/>
    <mergeCell ref="J495:J496"/>
    <mergeCell ref="K495:K496"/>
    <mergeCell ref="L495:L496"/>
    <mergeCell ref="J498:J499"/>
    <mergeCell ref="K498:K499"/>
    <mergeCell ref="L498:L499"/>
    <mergeCell ref="J500:J501"/>
    <mergeCell ref="K508:K512"/>
    <mergeCell ref="L508:L512"/>
    <mergeCell ref="J502:J503"/>
    <mergeCell ref="K502:K503"/>
    <mergeCell ref="L502:L503"/>
    <mergeCell ref="J505:J507"/>
    <mergeCell ref="K505:K507"/>
    <mergeCell ref="L505:L507"/>
    <mergeCell ref="J508:J512"/>
    <mergeCell ref="K523:K524"/>
    <mergeCell ref="L523:L524"/>
    <mergeCell ref="J513:J516"/>
    <mergeCell ref="K513:K516"/>
    <mergeCell ref="L513:L516"/>
    <mergeCell ref="J517:J522"/>
    <mergeCell ref="K517:K522"/>
    <mergeCell ref="L517:L522"/>
    <mergeCell ref="J523:J524"/>
    <mergeCell ref="J540:J541"/>
    <mergeCell ref="K540:K541"/>
  </mergeCells>
  <hyperlinks>
    <hyperlink r:id="rId1" ref="E855"/>
    <hyperlink r:id="rId2" ref="E856"/>
    <hyperlink r:id="rId3" ref="E857"/>
    <hyperlink r:id="rId4" ref="E858"/>
    <hyperlink r:id="rId5" ref="E859"/>
    <hyperlink r:id="rId6" ref="E860"/>
    <hyperlink r:id="rId7" ref="E861"/>
    <hyperlink r:id="rId8" ref="E862"/>
    <hyperlink r:id="rId9" ref="E863"/>
    <hyperlink r:id="rId10" ref="E864"/>
    <hyperlink r:id="rId11" ref="E865"/>
    <hyperlink r:id="rId12" ref="E866"/>
    <hyperlink r:id="rId13" ref="E867"/>
    <hyperlink r:id="rId14" ref="E868"/>
    <hyperlink r:id="rId15" ref="E869"/>
    <hyperlink r:id="rId16" ref="E870"/>
    <hyperlink r:id="rId17" ref="E871"/>
    <hyperlink r:id="rId18" ref="E872"/>
    <hyperlink r:id="rId19" ref="E873"/>
    <hyperlink r:id="rId20" ref="E874"/>
    <hyperlink r:id="rId21" ref="E875"/>
    <hyperlink r:id="rId22" ref="E876"/>
    <hyperlink r:id="rId23" ref="E877"/>
    <hyperlink r:id="rId24" ref="E878"/>
    <hyperlink r:id="rId25" ref="E879"/>
    <hyperlink r:id="rId26" ref="E880"/>
    <hyperlink r:id="rId27" ref="E881"/>
    <hyperlink r:id="rId28" ref="E882"/>
    <hyperlink r:id="rId29" ref="E883"/>
    <hyperlink r:id="rId30" ref="E884"/>
    <hyperlink r:id="rId31" ref="E885"/>
    <hyperlink r:id="rId32" ref="E886"/>
    <hyperlink r:id="rId33" ref="E887"/>
    <hyperlink r:id="rId34" ref="E888"/>
    <hyperlink r:id="rId35" ref="E889"/>
    <hyperlink r:id="rId36" ref="E890"/>
    <hyperlink r:id="rId37" ref="E891"/>
    <hyperlink r:id="rId38" ref="E892"/>
    <hyperlink r:id="rId39" ref="E893"/>
    <hyperlink r:id="rId40" ref="E894"/>
    <hyperlink r:id="rId41" ref="E895"/>
    <hyperlink r:id="rId42" ref="E896"/>
    <hyperlink r:id="rId43" ref="E897"/>
    <hyperlink r:id="rId44" ref="E898"/>
    <hyperlink r:id="rId45" ref="E899"/>
    <hyperlink r:id="rId46" ref="E900"/>
    <hyperlink r:id="rId47" ref="E901"/>
    <hyperlink r:id="rId48" ref="E902"/>
    <hyperlink r:id="rId49" ref="E903"/>
    <hyperlink r:id="rId50" ref="E904"/>
    <hyperlink r:id="rId51" ref="E905"/>
    <hyperlink r:id="rId52" ref="E906"/>
    <hyperlink r:id="rId53" ref="E907"/>
    <hyperlink r:id="rId54" ref="E908"/>
    <hyperlink r:id="rId55" ref="E909"/>
    <hyperlink r:id="rId56" ref="E910"/>
    <hyperlink r:id="rId57" ref="E911"/>
    <hyperlink r:id="rId58" ref="E912"/>
    <hyperlink r:id="rId59" ref="E913"/>
    <hyperlink r:id="rId60" ref="E914"/>
    <hyperlink r:id="rId61" ref="E915"/>
    <hyperlink r:id="rId62" ref="E916"/>
    <hyperlink r:id="rId63" ref="E917"/>
    <hyperlink r:id="rId64" ref="E918"/>
    <hyperlink r:id="rId65" ref="E919"/>
    <hyperlink r:id="rId66" ref="E920"/>
    <hyperlink r:id="rId67" ref="E921"/>
    <hyperlink r:id="rId68" ref="E922"/>
    <hyperlink r:id="rId69" ref="E923"/>
    <hyperlink r:id="rId70" ref="E924"/>
    <hyperlink r:id="rId71" ref="E925"/>
    <hyperlink r:id="rId72" ref="E926"/>
    <hyperlink r:id="rId73" ref="E927"/>
    <hyperlink r:id="rId74" ref="E928"/>
    <hyperlink r:id="rId75" ref="E929"/>
  </hyperlinks>
  <drawing r:id="rId7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45.43"/>
    <col customWidth="1" min="2" max="2" width="11.57"/>
    <col customWidth="1" min="3" max="4" width="14.43"/>
    <col customWidth="1" min="5" max="5" width="19.14"/>
    <col customWidth="1" min="6" max="6" width="13.0"/>
  </cols>
  <sheetData>
    <row r="1">
      <c r="A1" s="168" t="s">
        <v>744</v>
      </c>
      <c r="B1" s="2"/>
      <c r="C1" s="2"/>
      <c r="D1" s="2"/>
      <c r="E1" s="2"/>
      <c r="F1" s="3"/>
    </row>
    <row r="2">
      <c r="A2" s="169" t="s">
        <v>2</v>
      </c>
      <c r="B2" s="168" t="s">
        <v>745</v>
      </c>
      <c r="C2" s="2"/>
      <c r="D2" s="2"/>
      <c r="E2" s="3"/>
      <c r="F2" s="169" t="s">
        <v>746</v>
      </c>
    </row>
    <row r="3">
      <c r="A3" s="7"/>
      <c r="B3" s="170" t="s">
        <v>747</v>
      </c>
      <c r="C3" s="170" t="s">
        <v>748</v>
      </c>
      <c r="D3" s="170" t="s">
        <v>749</v>
      </c>
      <c r="E3" s="170" t="s">
        <v>750</v>
      </c>
      <c r="F3" s="7"/>
    </row>
    <row r="4">
      <c r="A4" s="74" t="s">
        <v>751</v>
      </c>
      <c r="B4" s="10">
        <v>657.0</v>
      </c>
      <c r="C4" s="10" t="s">
        <v>752</v>
      </c>
      <c r="D4" s="10" t="s">
        <v>753</v>
      </c>
      <c r="E4" s="10">
        <v>6.0</v>
      </c>
      <c r="F4" s="84" t="str">
        <f>HYPERLINK("https://docs.google.com/spreadsheets/d/14eN4V4imd53x81UQVckjyAx_2xIFGXJ8NE4XmE1oDkg/edit?usp=sharing","Link")</f>
        <v>Link</v>
      </c>
    </row>
    <row r="5">
      <c r="A5" s="74" t="s">
        <v>754</v>
      </c>
      <c r="B5" s="10">
        <v>573.0</v>
      </c>
      <c r="C5" s="10" t="s">
        <v>755</v>
      </c>
      <c r="D5" s="10" t="s">
        <v>756</v>
      </c>
      <c r="E5" s="10">
        <v>75.0</v>
      </c>
      <c r="F5" s="171" t="s">
        <v>757</v>
      </c>
    </row>
    <row r="6">
      <c r="A6" s="74" t="s">
        <v>758</v>
      </c>
      <c r="B6" s="10">
        <v>561.0</v>
      </c>
      <c r="C6" s="10" t="s">
        <v>759</v>
      </c>
      <c r="D6" s="10" t="s">
        <v>760</v>
      </c>
      <c r="E6" s="10">
        <v>6.0</v>
      </c>
      <c r="F6" s="84" t="str">
        <f>HYPERLINK("https://docs.google.com/spreadsheets/d/18wmIvmUS3SeZNSPQeUzr6sPl9GBYpVSlOaFR_kJCmKo/edit?usp=sharing","Link")</f>
        <v>Link</v>
      </c>
    </row>
    <row r="7">
      <c r="A7" s="74" t="s">
        <v>761</v>
      </c>
      <c r="B7" s="10">
        <v>507.0</v>
      </c>
      <c r="C7" s="10" t="s">
        <v>762</v>
      </c>
      <c r="D7" s="10" t="s">
        <v>763</v>
      </c>
      <c r="E7" s="10">
        <v>13.0</v>
      </c>
      <c r="F7" s="84" t="str">
        <f>HYPERLINK("https://docs.google.com/spreadsheets/d/1hg_GT4r2smQsgkwEYBqHOukVavnNSyncsyfceWDpOho/edit?usp=sharing","Link")</f>
        <v>Link</v>
      </c>
    </row>
    <row r="8">
      <c r="A8" s="74" t="s">
        <v>764</v>
      </c>
      <c r="B8" s="10">
        <v>501.0</v>
      </c>
      <c r="C8" s="10" t="s">
        <v>765</v>
      </c>
      <c r="D8" s="10" t="s">
        <v>766</v>
      </c>
      <c r="E8" s="10">
        <v>15.0</v>
      </c>
      <c r="F8" s="84" t="str">
        <f>HYPERLINK("https://docs.google.com/spreadsheets/d/1tPYt5CqjX32YXnh0BRsechvszEP2n4_ePabpiRTSzqE/edit?usp=sharing","Link")</f>
        <v>Link</v>
      </c>
    </row>
    <row r="9">
      <c r="A9" s="74" t="s">
        <v>767</v>
      </c>
      <c r="B9" s="10">
        <v>500.0</v>
      </c>
      <c r="C9" s="10" t="s">
        <v>768</v>
      </c>
      <c r="D9" s="10" t="s">
        <v>769</v>
      </c>
      <c r="E9" s="10">
        <v>8.0</v>
      </c>
      <c r="F9" s="84" t="str">
        <f>HYPERLINK("https://docs.google.com/spreadsheets/d/1EZNO7rY3X3GsqJDX9iY8RpZJJDJ-K4nm_Mxm1g397N0/edit?usp=sharing","Link")</f>
        <v>Link</v>
      </c>
    </row>
    <row r="10">
      <c r="A10" s="74" t="s">
        <v>770</v>
      </c>
      <c r="B10" s="10">
        <v>494.0</v>
      </c>
      <c r="C10" s="10" t="s">
        <v>771</v>
      </c>
      <c r="D10" s="10" t="s">
        <v>772</v>
      </c>
      <c r="E10" s="10">
        <v>22.0</v>
      </c>
      <c r="F10" s="84" t="str">
        <f>HYPERLINK("https://docs.google.com/spreadsheets/d/1t379i2CYDM1ZVdZZy_Nj2m3ht6Sp4J68-xZ2v4-PIMo/edit?usp=sharing","Link")</f>
        <v>Link</v>
      </c>
    </row>
    <row r="11">
      <c r="A11" s="74" t="s">
        <v>773</v>
      </c>
      <c r="B11" s="10">
        <v>486.0</v>
      </c>
      <c r="C11" s="10" t="s">
        <v>774</v>
      </c>
      <c r="D11" s="10" t="s">
        <v>775</v>
      </c>
      <c r="E11" s="10">
        <v>8.0</v>
      </c>
      <c r="F11" s="139" t="str">
        <f>HYPERLINK("https://docs.google.com/spreadsheets/d/1w0I5RoQ7uENhUG1ncC5V9B3b6BQapplx180-f9F9s4w/edit?usp=sharing","Link")</f>
        <v>Link</v>
      </c>
    </row>
    <row r="12">
      <c r="A12" s="74" t="s">
        <v>776</v>
      </c>
      <c r="B12" s="10">
        <v>483.0</v>
      </c>
      <c r="C12" s="10" t="s">
        <v>777</v>
      </c>
      <c r="D12" s="10" t="s">
        <v>778</v>
      </c>
      <c r="E12" s="10">
        <v>8.0</v>
      </c>
      <c r="F12" s="139" t="str">
        <f>HYPERLINK("https://docs.google.com/spreadsheets/d/1TniiK35-AGMNddj9lkge_tT9QfOGXMfX2thnTv8npTo/edit?usp=sharing","Link")</f>
        <v>Link</v>
      </c>
    </row>
    <row r="13">
      <c r="A13" s="74" t="s">
        <v>779</v>
      </c>
      <c r="B13" s="10">
        <v>478.0</v>
      </c>
      <c r="C13" s="10" t="s">
        <v>780</v>
      </c>
      <c r="D13" s="10" t="s">
        <v>781</v>
      </c>
      <c r="E13" s="10">
        <v>13.0</v>
      </c>
      <c r="F13" s="84" t="str">
        <f>HYPERLINK("https://docs.google.com/spreadsheets/d/1nRsx7fR5xbH1eAbI_vBDvqXOgh7mXIwmZNhzrVL6oGM/edit?usp=sharing","Link")</f>
        <v>Link</v>
      </c>
    </row>
    <row r="14">
      <c r="A14" s="74" t="s">
        <v>782</v>
      </c>
      <c r="B14" s="10">
        <v>459.0</v>
      </c>
      <c r="C14" s="10" t="s">
        <v>783</v>
      </c>
      <c r="D14" s="10" t="s">
        <v>784</v>
      </c>
      <c r="E14" s="10">
        <v>19.0</v>
      </c>
      <c r="F14" s="84" t="str">
        <f>HYPERLINK("https://docs.google.com/spreadsheets/d/1y7awzkkkaNlh7XKjc44AGriTvqB9H3pVz8cFLyIYdbo/edit?usp=sharing","Link")</f>
        <v>Link</v>
      </c>
    </row>
    <row r="15">
      <c r="A15" s="74" t="s">
        <v>785</v>
      </c>
      <c r="B15" s="10">
        <v>457.0</v>
      </c>
      <c r="C15" s="10" t="s">
        <v>786</v>
      </c>
      <c r="D15" s="10" t="s">
        <v>787</v>
      </c>
      <c r="E15" s="10">
        <v>19.0</v>
      </c>
      <c r="F15" s="84" t="str">
        <f>HYPERLINK("https://docs.google.com/spreadsheets/d/1HA0vQC0CSnQtVc8u58vwNd3sIFCc79SKVqM1abMG1hI/edit?usp=sharing","Link")</f>
        <v>Link</v>
      </c>
    </row>
    <row r="16">
      <c r="A16" s="74" t="s">
        <v>788</v>
      </c>
      <c r="B16" s="10">
        <v>445.0</v>
      </c>
      <c r="C16" s="10" t="s">
        <v>789</v>
      </c>
      <c r="D16" s="10" t="s">
        <v>790</v>
      </c>
      <c r="E16" s="10">
        <v>25.0</v>
      </c>
      <c r="F16" s="84" t="str">
        <f>HYPERLINK("https://docs.google.com/spreadsheets/d/1iNFGyKFcJm-tPp7Dg94yi7mHCDbJssmAD_PiaDM_tAE/edit?usp=sharing","Link")</f>
        <v>Link</v>
      </c>
    </row>
    <row r="17">
      <c r="A17" s="74" t="s">
        <v>791</v>
      </c>
      <c r="B17" s="10">
        <v>441.0</v>
      </c>
      <c r="C17" s="10" t="s">
        <v>792</v>
      </c>
      <c r="D17" s="10" t="s">
        <v>793</v>
      </c>
      <c r="E17" s="10">
        <v>15.0</v>
      </c>
      <c r="F17" s="84" t="str">
        <f>HYPERLINK("https://docs.google.com/spreadsheets/d/1sWOJC8eB6rVdXdWiWMgfbfgw2325jIh1ODKxyaCmSGc/edit?usp=sharing","Link")</f>
        <v>Link</v>
      </c>
    </row>
    <row r="18">
      <c r="A18" s="74" t="s">
        <v>794</v>
      </c>
      <c r="B18" s="10">
        <v>438.0</v>
      </c>
      <c r="C18" s="10" t="s">
        <v>795</v>
      </c>
      <c r="D18" s="10" t="s">
        <v>796</v>
      </c>
      <c r="E18" s="10">
        <v>38.0</v>
      </c>
      <c r="F18" s="84" t="str">
        <f>HYPERLINK("https://docs.google.com/spreadsheets/d/1EsGJrNyA7pLwFUlZ6WfOkbnPz58Cle9N9c6epQSDRVA/edit?usp=sharing","Link")</f>
        <v>Link</v>
      </c>
    </row>
    <row r="19">
      <c r="A19" s="74" t="s">
        <v>797</v>
      </c>
      <c r="B19" s="10">
        <v>435.0</v>
      </c>
      <c r="C19" s="10" t="s">
        <v>798</v>
      </c>
      <c r="D19" s="10" t="s">
        <v>799</v>
      </c>
      <c r="E19" s="10">
        <v>28.0</v>
      </c>
      <c r="F19" s="84" t="str">
        <f>HYPERLINK("https://docs.google.com/spreadsheets/d/1ReMaq-fM8zzflOjjrMrgnxEsdZxPIPIJqiZ9cCLO3cE/edit?usp=sharing","Link")</f>
        <v>Link</v>
      </c>
    </row>
    <row r="20">
      <c r="A20" s="74" t="s">
        <v>800</v>
      </c>
      <c r="B20" s="10">
        <v>435.0</v>
      </c>
      <c r="C20" s="10" t="s">
        <v>801</v>
      </c>
      <c r="D20" s="10" t="s">
        <v>802</v>
      </c>
      <c r="E20" s="10">
        <v>36.0</v>
      </c>
      <c r="F20" s="84" t="str">
        <f>HYPERLINK("https://docs.google.com/spreadsheets/d/1ZajpFwOHrMmupCcACeLhLTzPOwhTrjKRR1FJtUgeLww/edit?usp=sharing","Link")</f>
        <v>Link</v>
      </c>
    </row>
    <row r="21">
      <c r="A21" s="74" t="s">
        <v>803</v>
      </c>
      <c r="B21" s="10">
        <v>433.0</v>
      </c>
      <c r="C21" s="10" t="s">
        <v>804</v>
      </c>
      <c r="D21" s="10" t="s">
        <v>805</v>
      </c>
      <c r="E21" s="10">
        <v>47.0</v>
      </c>
      <c r="F21" s="139" t="str">
        <f>HYPERLINK("https://docs.google.com/spreadsheets/d/1X-5lK1sJCBpvE08rC1VdSsGvayqyrC62cK7W45Q4XX8/edit?usp=sharing","Link")</f>
        <v>Link</v>
      </c>
    </row>
    <row r="22">
      <c r="A22" s="74" t="s">
        <v>806</v>
      </c>
      <c r="B22" s="10">
        <v>431.0</v>
      </c>
      <c r="C22" s="10" t="s">
        <v>807</v>
      </c>
      <c r="D22" s="10" t="s">
        <v>808</v>
      </c>
      <c r="E22" s="10">
        <v>17.0</v>
      </c>
      <c r="F22" s="139" t="str">
        <f>HYPERLINK("https://docs.google.com/spreadsheets/d/1q-5bbq9txg93Y0eUACxRPTIN5PuRjeDVpNDfeXEw4iE/edit?usp=sharing","Link")</f>
        <v>Link</v>
      </c>
    </row>
    <row r="23">
      <c r="A23" s="74" t="s">
        <v>809</v>
      </c>
      <c r="B23" s="10">
        <v>427.0</v>
      </c>
      <c r="C23" s="10" t="s">
        <v>798</v>
      </c>
      <c r="D23" s="10" t="s">
        <v>810</v>
      </c>
      <c r="E23" s="10">
        <v>24.0</v>
      </c>
      <c r="F23" s="84" t="str">
        <f>HYPERLINK("https://docs.google.com/spreadsheets/d/1d8Hzm_QCJnDef8NF_dVYBZLjLjFI3Fl8Yt14m8Zhn8Y/edit?usp=sharing","Link")</f>
        <v>Link</v>
      </c>
    </row>
    <row r="24">
      <c r="A24" s="74" t="s">
        <v>811</v>
      </c>
      <c r="B24" s="10">
        <v>424.0</v>
      </c>
      <c r="C24" s="10" t="s">
        <v>812</v>
      </c>
      <c r="D24" s="10" t="s">
        <v>813</v>
      </c>
      <c r="E24" s="10">
        <v>49.0</v>
      </c>
      <c r="F24" s="84" t="str">
        <f>HYPERLINK("https://docs.google.com/spreadsheets/d/1CcEdjXKuhm6HmXecNbnscxpFab1HRQEjKSDga6QxqAU/edit?usp=sharing","Link")</f>
        <v>Link</v>
      </c>
    </row>
    <row r="25">
      <c r="A25" s="74" t="s">
        <v>814</v>
      </c>
      <c r="B25" s="10">
        <v>419.0</v>
      </c>
      <c r="C25" s="10" t="s">
        <v>815</v>
      </c>
      <c r="D25" s="10" t="s">
        <v>816</v>
      </c>
      <c r="E25" s="10">
        <v>20.0</v>
      </c>
      <c r="F25" s="84" t="str">
        <f>HYPERLINK("https://docs.google.com/spreadsheets/d/1yi_HtvN4TS5uRWCCFJg5RFaoouiIIe8CAtY_XnqP6iM/edit?usp=sharing","Link")</f>
        <v>Link</v>
      </c>
    </row>
    <row r="26">
      <c r="A26" s="74" t="s">
        <v>817</v>
      </c>
      <c r="B26" s="10">
        <v>416.0</v>
      </c>
      <c r="C26" s="10" t="s">
        <v>818</v>
      </c>
      <c r="D26" s="10" t="s">
        <v>819</v>
      </c>
      <c r="E26" s="10">
        <v>37.0</v>
      </c>
      <c r="F26" s="139" t="str">
        <f>HYPERLINK("https://docs.google.com/spreadsheets/d/1nYlVL4RxK2ZUH-a4MfKCalHyEjDRWz2ZumhyoaYsjTE/edit?usp=sharing","Link")</f>
        <v>Link</v>
      </c>
    </row>
    <row r="27">
      <c r="A27" s="74" t="s">
        <v>820</v>
      </c>
      <c r="B27" s="10">
        <v>413.0</v>
      </c>
      <c r="C27" s="10" t="s">
        <v>821</v>
      </c>
      <c r="D27" s="10" t="s">
        <v>822</v>
      </c>
      <c r="E27" s="10">
        <v>39.0</v>
      </c>
      <c r="F27" s="84" t="str">
        <f>HYPERLINK("https://docs.google.com/spreadsheets/d/1LR80O0PvsOvoTuN5gHQd3Rls4b1rZmJd7EZ_DR2oRHs/edit?usp=sharing","Link")</f>
        <v>Link</v>
      </c>
    </row>
    <row r="28">
      <c r="A28" s="74" t="s">
        <v>823</v>
      </c>
      <c r="B28" s="10">
        <v>412.0</v>
      </c>
      <c r="C28" s="10" t="s">
        <v>824</v>
      </c>
      <c r="D28" s="10" t="s">
        <v>825</v>
      </c>
      <c r="E28" s="10">
        <v>34.0</v>
      </c>
      <c r="F28" s="84" t="str">
        <f>HYPERLINK("https://docs.google.com/spreadsheets/d/1tElnwN2HVf964gGw8Ei53RyfjarS40wkDY3zivAPWp0/edit?usp=sharing","Link")</f>
        <v>Link</v>
      </c>
    </row>
    <row r="29">
      <c r="A29" s="74" t="s">
        <v>826</v>
      </c>
      <c r="B29" s="10">
        <v>403.0</v>
      </c>
      <c r="C29" s="10" t="s">
        <v>827</v>
      </c>
      <c r="D29" s="10" t="s">
        <v>828</v>
      </c>
      <c r="E29" s="10">
        <v>12.0</v>
      </c>
      <c r="F29" s="84" t="str">
        <f>HYPERLINK("https://docs.google.com/spreadsheets/d/1VEbyebFdBtPJKQC_U2uGrW6_v1fn6Hsoz3YYLyCxHR0/edit?usp=sharing","Link")</f>
        <v>Link</v>
      </c>
    </row>
    <row r="30">
      <c r="A30" s="74" t="s">
        <v>829</v>
      </c>
      <c r="B30" s="10">
        <v>401.0</v>
      </c>
      <c r="C30" s="10" t="s">
        <v>830</v>
      </c>
      <c r="D30" s="10" t="s">
        <v>831</v>
      </c>
      <c r="E30" s="10">
        <v>58.0</v>
      </c>
      <c r="F30" s="139" t="str">
        <f>HYPERLINK("https://docs.google.com/spreadsheets/d/1OvIOVR4AMBMcafVt9o6KEur-eEFhew1kw_KUv3DV3Xs/edit?usp=sharing","Link")</f>
        <v>Link</v>
      </c>
    </row>
    <row r="31">
      <c r="A31" s="74" t="s">
        <v>832</v>
      </c>
      <c r="B31" s="10">
        <v>393.0</v>
      </c>
      <c r="C31" s="10" t="s">
        <v>833</v>
      </c>
      <c r="D31" s="10" t="s">
        <v>834</v>
      </c>
      <c r="E31" s="10">
        <v>49.0</v>
      </c>
      <c r="F31" s="139" t="str">
        <f>HYPERLINK("https://drive.google.com/open?id=1Hf_PbZTXAuooCoiF7c3Bz80t5-zCjdWHF8wQ_HyodNs","Link")</f>
        <v>Link</v>
      </c>
    </row>
    <row r="32">
      <c r="A32" s="74" t="s">
        <v>835</v>
      </c>
      <c r="B32" s="10">
        <v>382.0</v>
      </c>
      <c r="C32" s="10" t="s">
        <v>836</v>
      </c>
      <c r="D32" s="10" t="s">
        <v>837</v>
      </c>
      <c r="E32" s="10">
        <v>32.0</v>
      </c>
      <c r="F32" s="84" t="str">
        <f>HYPERLINK("https://docs.google.com/spreadsheets/d/1v6gXy2rHfH0CkzT8zUZyZm6b-WimbnBspkh1B5hksu4/edit?usp=sharing","Link")</f>
        <v>Link</v>
      </c>
    </row>
    <row r="33">
      <c r="B33" s="28"/>
      <c r="C33" s="28"/>
      <c r="D33" s="28"/>
      <c r="E33" s="28"/>
      <c r="F33" s="28"/>
    </row>
    <row r="34" hidden="1">
      <c r="A34" s="68" t="s">
        <v>838</v>
      </c>
      <c r="B34" s="28"/>
      <c r="C34" s="28"/>
      <c r="D34" s="28"/>
      <c r="E34" s="28"/>
      <c r="F34" s="117" t="str">
        <f>HYPERLINK("https://docs.google.com/spreadsheets/d/1rz6ALoU3mT5OJ_iH2N4xiG0LgAiJBxDKcGWX_MT9VBw/edit?usp=sharing","Link")</f>
        <v>Link</v>
      </c>
    </row>
    <row r="35" hidden="1">
      <c r="A35" s="68" t="s">
        <v>839</v>
      </c>
      <c r="B35" s="28"/>
      <c r="C35" s="28"/>
      <c r="D35" s="28"/>
      <c r="E35" s="28"/>
      <c r="F35" s="117" t="str">
        <f>HYPERLINK("https://docs.google.com/spreadsheets/d/11kgSN1g0GK37sClxLbfy_k06SXw_K3r3T_SwH58G6SM/edit?usp=sharing","Link")</f>
        <v>Link</v>
      </c>
    </row>
    <row r="36" hidden="1">
      <c r="A36" s="68" t="s">
        <v>840</v>
      </c>
      <c r="B36" s="28"/>
      <c r="C36" s="28"/>
      <c r="D36" s="28"/>
      <c r="E36" s="28"/>
      <c r="F36" s="117" t="str">
        <f>HYPERLINK("https://docs.google.com/spreadsheets/d/1uf0PUce8Amvbd8HKP43YboFMwneOC6oSjEUR9m-v1-M/edit?usp=sharing","Link")</f>
        <v>Link</v>
      </c>
    </row>
    <row r="37" hidden="1">
      <c r="A37" s="68" t="s">
        <v>841</v>
      </c>
      <c r="B37" s="28"/>
      <c r="C37" s="28"/>
      <c r="D37" s="28"/>
      <c r="E37" s="28"/>
      <c r="F37" s="117" t="str">
        <f>HYPERLINK("https://docs.google.com/spreadsheets/d/1J9oyQ-TtIbWGyrhdaC75rNF3E-jIKGfpiGza5Cf0tPc/edit?usp=sharing","Link")</f>
        <v>Link</v>
      </c>
    </row>
    <row r="38" hidden="1">
      <c r="A38" s="68" t="s">
        <v>842</v>
      </c>
      <c r="B38" s="28"/>
      <c r="C38" s="28"/>
      <c r="D38" s="28"/>
      <c r="E38" s="28"/>
      <c r="F38" s="117" t="str">
        <f>HYPERLINK("https://docs.google.com/spreadsheets/d/1ERgQdXeAWbVo-QiaitRphUS1E5b1SngyK3FFWH-uwlc/edit?usp=sharing","Link")</f>
        <v>Link</v>
      </c>
    </row>
    <row r="39" hidden="1">
      <c r="A39" s="68" t="s">
        <v>843</v>
      </c>
      <c r="B39" s="28"/>
      <c r="C39" s="28"/>
      <c r="D39" s="28"/>
      <c r="E39" s="28"/>
      <c r="F39" s="117" t="str">
        <f>HYPERLINK("https://docs.google.com/spreadsheets/d/1PQNnyH-N_MPqR4ieImWElHVQioH8xTE5nrApMio0bGU/edit?usp=sharing","Link")</f>
        <v>Link</v>
      </c>
    </row>
    <row r="40" hidden="1">
      <c r="A40" s="68" t="s">
        <v>844</v>
      </c>
      <c r="B40" s="28"/>
      <c r="C40" s="28"/>
      <c r="D40" s="28"/>
      <c r="E40" s="28"/>
      <c r="F40" s="117" t="str">
        <f>HYPERLINK("https://docs.google.com/spreadsheets/d/1ErNiiU5X-RH2sqOJEUpe74HRzMxT2715FFrDX7EPUQw/edit?usp=sharing","Link")</f>
        <v>Link</v>
      </c>
    </row>
    <row r="41" hidden="1">
      <c r="A41" s="68" t="s">
        <v>845</v>
      </c>
      <c r="B41" s="28"/>
      <c r="C41" s="28"/>
      <c r="D41" s="28"/>
      <c r="E41" s="28"/>
      <c r="F41" s="117" t="str">
        <f>HYPERLINK("https://docs.google.com/spreadsheets/d/1cyZhX7PoXyvXfWS1vj4xYnbYsHfLh8GcIspmX9GLb24/edit?usp=sharing","Link")</f>
        <v>Link</v>
      </c>
    </row>
    <row r="42">
      <c r="B42" s="28"/>
      <c r="C42" s="28"/>
      <c r="D42" s="28"/>
      <c r="E42" s="28"/>
      <c r="F42" s="28"/>
    </row>
    <row r="43" hidden="1">
      <c r="A43" s="68" t="s">
        <v>846</v>
      </c>
      <c r="B43" s="28"/>
      <c r="C43" s="28"/>
      <c r="D43" s="28"/>
      <c r="E43" s="28"/>
      <c r="F43" s="28"/>
    </row>
    <row r="44" hidden="1">
      <c r="A44" s="68" t="s">
        <v>847</v>
      </c>
      <c r="B44" s="28"/>
      <c r="C44" s="28"/>
      <c r="D44" s="28"/>
      <c r="E44" s="28"/>
      <c r="F44" s="28"/>
    </row>
    <row r="45" hidden="1">
      <c r="A45" s="68" t="s">
        <v>848</v>
      </c>
      <c r="B45" s="28"/>
      <c r="C45" s="28"/>
      <c r="D45" s="28"/>
      <c r="E45" s="28"/>
      <c r="F45" s="28"/>
    </row>
    <row r="46">
      <c r="B46" s="28"/>
      <c r="C46" s="28"/>
      <c r="D46" s="28"/>
      <c r="E46" s="28"/>
      <c r="F46" s="28"/>
    </row>
    <row r="47">
      <c r="B47" s="28"/>
      <c r="C47" s="28"/>
      <c r="D47" s="28"/>
      <c r="E47" s="28"/>
      <c r="F47" s="28"/>
    </row>
    <row r="48">
      <c r="B48" s="28"/>
      <c r="C48" s="28"/>
      <c r="D48" s="28"/>
      <c r="E48" s="28"/>
      <c r="F48" s="28"/>
    </row>
    <row r="49">
      <c r="B49" s="28"/>
      <c r="C49" s="28"/>
      <c r="D49" s="28"/>
      <c r="E49" s="28"/>
      <c r="F49" s="28"/>
    </row>
    <row r="50">
      <c r="B50" s="28"/>
      <c r="C50" s="28"/>
      <c r="D50" s="28"/>
      <c r="E50" s="28"/>
      <c r="F50" s="28"/>
    </row>
    <row r="51">
      <c r="B51" s="28"/>
      <c r="C51" s="28"/>
      <c r="D51" s="28"/>
      <c r="E51" s="28"/>
      <c r="F51" s="28"/>
    </row>
    <row r="52">
      <c r="B52" s="28"/>
      <c r="C52" s="28"/>
      <c r="D52" s="28"/>
      <c r="E52" s="28"/>
      <c r="F52" s="28"/>
    </row>
    <row r="53">
      <c r="B53" s="28"/>
      <c r="C53" s="28"/>
      <c r="D53" s="28"/>
      <c r="E53" s="28"/>
      <c r="F53" s="28"/>
    </row>
    <row r="54">
      <c r="B54" s="28"/>
      <c r="C54" s="28"/>
      <c r="D54" s="28"/>
      <c r="E54" s="28"/>
      <c r="F54" s="28"/>
    </row>
    <row r="55">
      <c r="B55" s="28"/>
      <c r="C55" s="28"/>
      <c r="D55" s="28"/>
      <c r="E55" s="28"/>
      <c r="F55" s="28"/>
    </row>
    <row r="56">
      <c r="B56" s="28"/>
      <c r="C56" s="28"/>
      <c r="D56" s="28"/>
      <c r="E56" s="28"/>
      <c r="F56" s="28"/>
    </row>
    <row r="57">
      <c r="B57" s="28"/>
      <c r="C57" s="28"/>
      <c r="D57" s="28"/>
      <c r="E57" s="28"/>
      <c r="F57" s="28"/>
    </row>
    <row r="58">
      <c r="B58" s="28"/>
      <c r="C58" s="28"/>
      <c r="D58" s="28"/>
      <c r="E58" s="28"/>
      <c r="F58" s="28"/>
    </row>
    <row r="59">
      <c r="B59" s="28"/>
      <c r="C59" s="28"/>
      <c r="D59" s="28"/>
      <c r="E59" s="28"/>
      <c r="F59" s="28"/>
    </row>
    <row r="60">
      <c r="B60" s="28"/>
      <c r="C60" s="28"/>
      <c r="D60" s="28"/>
      <c r="E60" s="28"/>
      <c r="F60" s="28"/>
    </row>
    <row r="61">
      <c r="B61" s="28"/>
      <c r="C61" s="28"/>
      <c r="D61" s="28"/>
      <c r="E61" s="28"/>
      <c r="F61" s="28"/>
    </row>
    <row r="62">
      <c r="B62" s="28"/>
      <c r="C62" s="28"/>
      <c r="D62" s="28"/>
      <c r="E62" s="28"/>
      <c r="F62" s="28"/>
    </row>
    <row r="63">
      <c r="B63" s="28"/>
      <c r="C63" s="28"/>
      <c r="D63" s="28"/>
      <c r="E63" s="28"/>
      <c r="F63" s="28"/>
    </row>
    <row r="64">
      <c r="B64" s="28"/>
      <c r="C64" s="28"/>
      <c r="D64" s="28"/>
      <c r="E64" s="28"/>
      <c r="F64" s="28"/>
    </row>
    <row r="65">
      <c r="B65" s="28"/>
      <c r="C65" s="28"/>
      <c r="D65" s="28"/>
      <c r="E65" s="28"/>
      <c r="F65" s="28"/>
    </row>
    <row r="66">
      <c r="B66" s="28"/>
      <c r="C66" s="28"/>
      <c r="D66" s="28"/>
      <c r="E66" s="28"/>
      <c r="F66" s="28"/>
    </row>
    <row r="67">
      <c r="B67" s="28"/>
      <c r="C67" s="28"/>
      <c r="D67" s="28"/>
      <c r="E67" s="28"/>
      <c r="F67" s="28"/>
    </row>
    <row r="68">
      <c r="B68" s="28"/>
      <c r="C68" s="28"/>
      <c r="D68" s="28"/>
      <c r="E68" s="28"/>
      <c r="F68" s="28"/>
    </row>
    <row r="69">
      <c r="B69" s="28"/>
      <c r="C69" s="28"/>
      <c r="D69" s="28"/>
      <c r="E69" s="28"/>
      <c r="F69" s="28"/>
    </row>
    <row r="70">
      <c r="B70" s="28"/>
      <c r="C70" s="28"/>
      <c r="D70" s="28"/>
      <c r="E70" s="28"/>
      <c r="F70" s="28"/>
    </row>
    <row r="71">
      <c r="B71" s="28"/>
      <c r="C71" s="28"/>
      <c r="D71" s="28"/>
      <c r="E71" s="28"/>
      <c r="F71" s="28"/>
    </row>
    <row r="72">
      <c r="B72" s="28"/>
      <c r="C72" s="28"/>
      <c r="D72" s="28"/>
      <c r="E72" s="28"/>
      <c r="F72" s="28"/>
    </row>
    <row r="73">
      <c r="B73" s="28"/>
      <c r="C73" s="28"/>
      <c r="D73" s="28"/>
      <c r="E73" s="28"/>
      <c r="F73" s="28"/>
    </row>
    <row r="74">
      <c r="B74" s="28"/>
      <c r="C74" s="28"/>
      <c r="D74" s="28"/>
      <c r="E74" s="28"/>
      <c r="F74" s="28"/>
    </row>
    <row r="75">
      <c r="B75" s="28"/>
      <c r="C75" s="28"/>
      <c r="D75" s="28"/>
      <c r="E75" s="28"/>
      <c r="F75" s="28"/>
    </row>
    <row r="76">
      <c r="B76" s="28"/>
      <c r="C76" s="28"/>
      <c r="D76" s="28"/>
      <c r="E76" s="28"/>
      <c r="F76" s="28"/>
    </row>
    <row r="77">
      <c r="B77" s="28"/>
      <c r="C77" s="28"/>
      <c r="D77" s="28"/>
      <c r="E77" s="28"/>
      <c r="F77" s="28"/>
    </row>
    <row r="78">
      <c r="B78" s="28"/>
      <c r="C78" s="28"/>
      <c r="D78" s="28"/>
      <c r="E78" s="28"/>
      <c r="F78" s="28"/>
    </row>
    <row r="79">
      <c r="B79" s="28"/>
      <c r="C79" s="28"/>
      <c r="D79" s="28"/>
      <c r="E79" s="28"/>
      <c r="F79" s="28"/>
    </row>
    <row r="80">
      <c r="B80" s="28"/>
      <c r="C80" s="28"/>
      <c r="D80" s="28"/>
      <c r="E80" s="28"/>
      <c r="F80" s="28"/>
    </row>
    <row r="81">
      <c r="B81" s="28"/>
      <c r="C81" s="28"/>
      <c r="D81" s="28"/>
      <c r="E81" s="28"/>
      <c r="F81" s="28"/>
    </row>
    <row r="82">
      <c r="B82" s="28"/>
      <c r="C82" s="28"/>
      <c r="D82" s="28"/>
      <c r="E82" s="28"/>
      <c r="F82" s="28"/>
    </row>
    <row r="83">
      <c r="B83" s="28"/>
      <c r="C83" s="28"/>
      <c r="D83" s="28"/>
      <c r="E83" s="28"/>
      <c r="F83" s="28"/>
    </row>
    <row r="84">
      <c r="B84" s="28"/>
      <c r="C84" s="28"/>
      <c r="D84" s="28"/>
      <c r="E84" s="28"/>
      <c r="F84" s="28"/>
    </row>
    <row r="85">
      <c r="B85" s="28"/>
      <c r="C85" s="28"/>
      <c r="D85" s="28"/>
      <c r="E85" s="28"/>
      <c r="F85" s="28"/>
    </row>
    <row r="86">
      <c r="B86" s="28"/>
      <c r="C86" s="28"/>
      <c r="D86" s="28"/>
      <c r="E86" s="28"/>
      <c r="F86" s="28"/>
    </row>
    <row r="87">
      <c r="B87" s="28"/>
      <c r="C87" s="28"/>
      <c r="D87" s="28"/>
      <c r="E87" s="28"/>
      <c r="F87" s="28"/>
    </row>
    <row r="88">
      <c r="B88" s="28"/>
      <c r="C88" s="28"/>
      <c r="D88" s="28"/>
      <c r="E88" s="28"/>
      <c r="F88" s="28"/>
    </row>
    <row r="89">
      <c r="B89" s="28"/>
      <c r="C89" s="28"/>
      <c r="D89" s="28"/>
      <c r="E89" s="28"/>
      <c r="F89" s="28"/>
    </row>
    <row r="90">
      <c r="B90" s="28"/>
      <c r="C90" s="28"/>
      <c r="D90" s="28"/>
      <c r="E90" s="28"/>
      <c r="F90" s="28"/>
    </row>
    <row r="91">
      <c r="B91" s="28"/>
      <c r="C91" s="28"/>
      <c r="D91" s="28"/>
      <c r="E91" s="28"/>
      <c r="F91" s="28"/>
    </row>
    <row r="92">
      <c r="B92" s="28"/>
      <c r="C92" s="28"/>
      <c r="D92" s="28"/>
      <c r="E92" s="28"/>
      <c r="F92" s="28"/>
    </row>
    <row r="93">
      <c r="B93" s="28"/>
      <c r="C93" s="28"/>
      <c r="D93" s="28"/>
      <c r="E93" s="28"/>
      <c r="F93" s="28"/>
    </row>
    <row r="94">
      <c r="B94" s="28"/>
      <c r="C94" s="28"/>
      <c r="D94" s="28"/>
      <c r="E94" s="28"/>
      <c r="F94" s="28"/>
    </row>
    <row r="95">
      <c r="B95" s="28"/>
      <c r="C95" s="28"/>
      <c r="D95" s="28"/>
      <c r="E95" s="28"/>
      <c r="F95" s="28"/>
    </row>
    <row r="96">
      <c r="B96" s="28"/>
      <c r="C96" s="28"/>
      <c r="D96" s="28"/>
      <c r="E96" s="28"/>
      <c r="F96" s="28"/>
    </row>
    <row r="97">
      <c r="B97" s="28"/>
      <c r="C97" s="28"/>
      <c r="D97" s="28"/>
      <c r="E97" s="28"/>
      <c r="F97" s="28"/>
    </row>
    <row r="98">
      <c r="B98" s="28"/>
      <c r="C98" s="28"/>
      <c r="D98" s="28"/>
      <c r="E98" s="28"/>
      <c r="F98" s="28"/>
    </row>
    <row r="99">
      <c r="B99" s="28"/>
      <c r="C99" s="28"/>
      <c r="D99" s="28"/>
      <c r="E99" s="28"/>
      <c r="F99" s="28"/>
    </row>
    <row r="100">
      <c r="B100" s="28"/>
      <c r="C100" s="28"/>
      <c r="D100" s="28"/>
      <c r="E100" s="28"/>
      <c r="F100" s="28"/>
    </row>
    <row r="101">
      <c r="B101" s="28"/>
      <c r="C101" s="28"/>
      <c r="D101" s="28"/>
      <c r="E101" s="28"/>
      <c r="F101" s="28"/>
    </row>
    <row r="102">
      <c r="B102" s="28"/>
      <c r="C102" s="28"/>
      <c r="D102" s="28"/>
      <c r="E102" s="28"/>
      <c r="F102" s="28"/>
    </row>
    <row r="103">
      <c r="B103" s="28"/>
      <c r="C103" s="28"/>
      <c r="D103" s="28"/>
      <c r="E103" s="28"/>
      <c r="F103" s="28"/>
    </row>
    <row r="104">
      <c r="B104" s="28"/>
      <c r="C104" s="28"/>
      <c r="D104" s="28"/>
      <c r="E104" s="28"/>
      <c r="F104" s="28"/>
    </row>
    <row r="105">
      <c r="B105" s="28"/>
      <c r="C105" s="28"/>
      <c r="D105" s="28"/>
      <c r="E105" s="28"/>
      <c r="F105" s="28"/>
    </row>
    <row r="106">
      <c r="B106" s="28"/>
      <c r="C106" s="28"/>
      <c r="D106" s="28"/>
      <c r="E106" s="28"/>
      <c r="F106" s="28"/>
    </row>
    <row r="107">
      <c r="B107" s="28"/>
      <c r="C107" s="28"/>
      <c r="D107" s="28"/>
      <c r="E107" s="28"/>
      <c r="F107" s="28"/>
    </row>
    <row r="108">
      <c r="B108" s="28"/>
      <c r="C108" s="28"/>
      <c r="D108" s="28"/>
      <c r="E108" s="28"/>
      <c r="F108" s="28"/>
    </row>
    <row r="109">
      <c r="B109" s="28"/>
      <c r="C109" s="28"/>
      <c r="D109" s="28"/>
      <c r="E109" s="28"/>
      <c r="F109" s="28"/>
    </row>
    <row r="110">
      <c r="B110" s="28"/>
      <c r="C110" s="28"/>
      <c r="D110" s="28"/>
      <c r="E110" s="28"/>
      <c r="F110" s="28"/>
    </row>
    <row r="111">
      <c r="B111" s="28"/>
      <c r="C111" s="28"/>
      <c r="D111" s="28"/>
      <c r="E111" s="28"/>
      <c r="F111" s="28"/>
    </row>
    <row r="112">
      <c r="B112" s="28"/>
      <c r="C112" s="28"/>
      <c r="D112" s="28"/>
      <c r="E112" s="28"/>
      <c r="F112" s="28"/>
    </row>
    <row r="113">
      <c r="B113" s="28"/>
      <c r="C113" s="28"/>
      <c r="D113" s="28"/>
      <c r="E113" s="28"/>
      <c r="F113" s="28"/>
    </row>
    <row r="114">
      <c r="B114" s="28"/>
      <c r="C114" s="28"/>
      <c r="D114" s="28"/>
      <c r="E114" s="28"/>
      <c r="F114" s="28"/>
    </row>
    <row r="115">
      <c r="B115" s="28"/>
      <c r="C115" s="28"/>
      <c r="D115" s="28"/>
      <c r="E115" s="28"/>
      <c r="F115" s="28"/>
    </row>
    <row r="116">
      <c r="B116" s="28"/>
      <c r="C116" s="28"/>
      <c r="D116" s="28"/>
      <c r="E116" s="28"/>
      <c r="F116" s="28"/>
    </row>
    <row r="117">
      <c r="B117" s="28"/>
      <c r="C117" s="28"/>
      <c r="D117" s="28"/>
      <c r="E117" s="28"/>
      <c r="F117" s="28"/>
    </row>
    <row r="118">
      <c r="B118" s="28"/>
      <c r="C118" s="28"/>
      <c r="D118" s="28"/>
      <c r="E118" s="28"/>
      <c r="F118" s="28"/>
    </row>
    <row r="119">
      <c r="B119" s="28"/>
      <c r="C119" s="28"/>
      <c r="D119" s="28"/>
      <c r="E119" s="28"/>
      <c r="F119" s="28"/>
    </row>
    <row r="120">
      <c r="B120" s="28"/>
      <c r="C120" s="28"/>
      <c r="D120" s="28"/>
      <c r="E120" s="28"/>
      <c r="F120" s="28"/>
    </row>
    <row r="121">
      <c r="B121" s="28"/>
      <c r="C121" s="28"/>
      <c r="D121" s="28"/>
      <c r="E121" s="28"/>
      <c r="F121" s="28"/>
    </row>
    <row r="122">
      <c r="B122" s="28"/>
      <c r="C122" s="28"/>
      <c r="D122" s="28"/>
      <c r="E122" s="28"/>
      <c r="F122" s="28"/>
    </row>
    <row r="123">
      <c r="B123" s="28"/>
      <c r="C123" s="28"/>
      <c r="D123" s="28"/>
      <c r="E123" s="28"/>
      <c r="F123" s="28"/>
    </row>
    <row r="124">
      <c r="B124" s="28"/>
      <c r="C124" s="28"/>
      <c r="D124" s="28"/>
      <c r="E124" s="28"/>
      <c r="F124" s="28"/>
    </row>
    <row r="125">
      <c r="B125" s="28"/>
      <c r="C125" s="28"/>
      <c r="D125" s="28"/>
      <c r="E125" s="28"/>
      <c r="F125" s="28"/>
    </row>
    <row r="126">
      <c r="B126" s="28"/>
      <c r="C126" s="28"/>
      <c r="D126" s="28"/>
      <c r="E126" s="28"/>
      <c r="F126" s="28"/>
    </row>
    <row r="127">
      <c r="B127" s="28"/>
      <c r="C127" s="28"/>
      <c r="D127" s="28"/>
      <c r="E127" s="28"/>
      <c r="F127" s="28"/>
    </row>
    <row r="128">
      <c r="B128" s="28"/>
      <c r="C128" s="28"/>
      <c r="D128" s="28"/>
      <c r="E128" s="28"/>
      <c r="F128" s="28"/>
    </row>
    <row r="129">
      <c r="B129" s="28"/>
      <c r="C129" s="28"/>
      <c r="D129" s="28"/>
      <c r="E129" s="28"/>
      <c r="F129" s="28"/>
    </row>
    <row r="130">
      <c r="B130" s="28"/>
      <c r="C130" s="28"/>
      <c r="D130" s="28"/>
      <c r="E130" s="28"/>
      <c r="F130" s="28"/>
    </row>
    <row r="131">
      <c r="B131" s="28"/>
      <c r="C131" s="28"/>
      <c r="D131" s="28"/>
      <c r="E131" s="28"/>
      <c r="F131" s="28"/>
    </row>
    <row r="132">
      <c r="B132" s="28"/>
      <c r="C132" s="28"/>
      <c r="D132" s="28"/>
      <c r="E132" s="28"/>
      <c r="F132" s="28"/>
    </row>
    <row r="133">
      <c r="B133" s="28"/>
      <c r="C133" s="28"/>
      <c r="D133" s="28"/>
      <c r="E133" s="28"/>
      <c r="F133" s="28"/>
    </row>
    <row r="134">
      <c r="B134" s="28"/>
      <c r="C134" s="28"/>
      <c r="D134" s="28"/>
      <c r="E134" s="28"/>
      <c r="F134" s="28"/>
    </row>
    <row r="135">
      <c r="B135" s="28"/>
      <c r="C135" s="28"/>
      <c r="D135" s="28"/>
      <c r="E135" s="28"/>
      <c r="F135" s="28"/>
    </row>
    <row r="136">
      <c r="B136" s="28"/>
      <c r="C136" s="28"/>
      <c r="D136" s="28"/>
      <c r="E136" s="28"/>
      <c r="F136" s="28"/>
    </row>
    <row r="137">
      <c r="B137" s="28"/>
      <c r="C137" s="28"/>
      <c r="D137" s="28"/>
      <c r="E137" s="28"/>
      <c r="F137" s="28"/>
    </row>
    <row r="138">
      <c r="B138" s="28"/>
      <c r="C138" s="28"/>
      <c r="D138" s="28"/>
      <c r="E138" s="28"/>
      <c r="F138" s="28"/>
    </row>
    <row r="139">
      <c r="B139" s="28"/>
      <c r="C139" s="28"/>
      <c r="D139" s="28"/>
      <c r="E139" s="28"/>
      <c r="F139" s="28"/>
    </row>
    <row r="140">
      <c r="B140" s="28"/>
      <c r="C140" s="28"/>
      <c r="D140" s="28"/>
      <c r="E140" s="28"/>
      <c r="F140" s="28"/>
    </row>
    <row r="141">
      <c r="B141" s="28"/>
      <c r="C141" s="28"/>
      <c r="D141" s="28"/>
      <c r="E141" s="28"/>
      <c r="F141" s="28"/>
    </row>
    <row r="142">
      <c r="B142" s="28"/>
      <c r="C142" s="28"/>
      <c r="D142" s="28"/>
      <c r="E142" s="28"/>
      <c r="F142" s="28"/>
    </row>
    <row r="143">
      <c r="B143" s="28"/>
      <c r="C143" s="28"/>
      <c r="D143" s="28"/>
      <c r="E143" s="28"/>
      <c r="F143" s="28"/>
    </row>
    <row r="144">
      <c r="B144" s="28"/>
      <c r="C144" s="28"/>
      <c r="D144" s="28"/>
      <c r="E144" s="28"/>
      <c r="F144" s="28"/>
    </row>
    <row r="145">
      <c r="B145" s="28"/>
      <c r="C145" s="28"/>
      <c r="D145" s="28"/>
      <c r="E145" s="28"/>
      <c r="F145" s="28"/>
    </row>
    <row r="146">
      <c r="B146" s="28"/>
      <c r="C146" s="28"/>
      <c r="D146" s="28"/>
      <c r="E146" s="28"/>
      <c r="F146" s="28"/>
    </row>
    <row r="147">
      <c r="B147" s="28"/>
      <c r="C147" s="28"/>
      <c r="D147" s="28"/>
      <c r="E147" s="28"/>
      <c r="F147" s="28"/>
    </row>
    <row r="148">
      <c r="B148" s="28"/>
      <c r="C148" s="28"/>
      <c r="D148" s="28"/>
      <c r="E148" s="28"/>
      <c r="F148" s="28"/>
    </row>
    <row r="149">
      <c r="B149" s="28"/>
      <c r="C149" s="28"/>
      <c r="D149" s="28"/>
      <c r="E149" s="28"/>
      <c r="F149" s="28"/>
    </row>
    <row r="150">
      <c r="B150" s="28"/>
      <c r="C150" s="28"/>
      <c r="D150" s="28"/>
      <c r="E150" s="28"/>
      <c r="F150" s="28"/>
    </row>
    <row r="151">
      <c r="B151" s="28"/>
      <c r="C151" s="28"/>
      <c r="D151" s="28"/>
      <c r="E151" s="28"/>
      <c r="F151" s="28"/>
    </row>
    <row r="152">
      <c r="B152" s="28"/>
      <c r="C152" s="28"/>
      <c r="D152" s="28"/>
      <c r="E152" s="28"/>
      <c r="F152" s="28"/>
    </row>
    <row r="153">
      <c r="B153" s="28"/>
      <c r="C153" s="28"/>
      <c r="D153" s="28"/>
      <c r="E153" s="28"/>
      <c r="F153" s="28"/>
    </row>
    <row r="154">
      <c r="B154" s="28"/>
      <c r="C154" s="28"/>
      <c r="D154" s="28"/>
      <c r="E154" s="28"/>
      <c r="F154" s="28"/>
    </row>
    <row r="155">
      <c r="B155" s="28"/>
      <c r="C155" s="28"/>
      <c r="D155" s="28"/>
      <c r="E155" s="28"/>
      <c r="F155" s="28"/>
    </row>
    <row r="156">
      <c r="B156" s="28"/>
      <c r="C156" s="28"/>
      <c r="D156" s="28"/>
      <c r="E156" s="28"/>
      <c r="F156" s="28"/>
    </row>
    <row r="157">
      <c r="B157" s="28"/>
      <c r="C157" s="28"/>
      <c r="D157" s="28"/>
      <c r="E157" s="28"/>
      <c r="F157" s="28"/>
    </row>
    <row r="158">
      <c r="B158" s="28"/>
      <c r="C158" s="28"/>
      <c r="D158" s="28"/>
      <c r="E158" s="28"/>
      <c r="F158" s="28"/>
    </row>
    <row r="159">
      <c r="B159" s="28"/>
      <c r="C159" s="28"/>
      <c r="D159" s="28"/>
      <c r="E159" s="28"/>
      <c r="F159" s="28"/>
    </row>
    <row r="160">
      <c r="B160" s="28"/>
      <c r="C160" s="28"/>
      <c r="D160" s="28"/>
      <c r="E160" s="28"/>
      <c r="F160" s="28"/>
    </row>
    <row r="161">
      <c r="B161" s="28"/>
      <c r="C161" s="28"/>
      <c r="D161" s="28"/>
      <c r="E161" s="28"/>
      <c r="F161" s="28"/>
    </row>
    <row r="162">
      <c r="B162" s="28"/>
      <c r="C162" s="28"/>
      <c r="D162" s="28"/>
      <c r="E162" s="28"/>
      <c r="F162" s="28"/>
    </row>
    <row r="163">
      <c r="B163" s="28"/>
      <c r="C163" s="28"/>
      <c r="D163" s="28"/>
      <c r="E163" s="28"/>
      <c r="F163" s="28"/>
    </row>
    <row r="164">
      <c r="B164" s="28"/>
      <c r="C164" s="28"/>
      <c r="D164" s="28"/>
      <c r="E164" s="28"/>
      <c r="F164" s="28"/>
    </row>
    <row r="165">
      <c r="B165" s="28"/>
      <c r="C165" s="28"/>
      <c r="D165" s="28"/>
      <c r="E165" s="28"/>
      <c r="F165" s="28"/>
    </row>
    <row r="166">
      <c r="B166" s="28"/>
      <c r="C166" s="28"/>
      <c r="D166" s="28"/>
      <c r="E166" s="28"/>
      <c r="F166" s="28"/>
    </row>
    <row r="167">
      <c r="B167" s="28"/>
      <c r="C167" s="28"/>
      <c r="D167" s="28"/>
      <c r="E167" s="28"/>
      <c r="F167" s="28"/>
    </row>
    <row r="168">
      <c r="B168" s="28"/>
      <c r="C168" s="28"/>
      <c r="D168" s="28"/>
      <c r="E168" s="28"/>
      <c r="F168" s="28"/>
    </row>
    <row r="169">
      <c r="B169" s="28"/>
      <c r="C169" s="28"/>
      <c r="D169" s="28"/>
      <c r="E169" s="28"/>
      <c r="F169" s="28"/>
    </row>
    <row r="170">
      <c r="B170" s="28"/>
      <c r="C170" s="28"/>
      <c r="D170" s="28"/>
      <c r="E170" s="28"/>
      <c r="F170" s="28"/>
    </row>
    <row r="171">
      <c r="B171" s="28"/>
      <c r="C171" s="28"/>
      <c r="D171" s="28"/>
      <c r="E171" s="28"/>
      <c r="F171" s="28"/>
    </row>
    <row r="172">
      <c r="B172" s="28"/>
      <c r="C172" s="28"/>
      <c r="D172" s="28"/>
      <c r="E172" s="28"/>
      <c r="F172" s="28"/>
    </row>
    <row r="173">
      <c r="B173" s="28"/>
      <c r="C173" s="28"/>
      <c r="D173" s="28"/>
      <c r="E173" s="28"/>
      <c r="F173" s="28"/>
    </row>
    <row r="174">
      <c r="B174" s="28"/>
      <c r="C174" s="28"/>
      <c r="D174" s="28"/>
      <c r="E174" s="28"/>
      <c r="F174" s="28"/>
    </row>
    <row r="175">
      <c r="B175" s="28"/>
      <c r="C175" s="28"/>
      <c r="D175" s="28"/>
      <c r="E175" s="28"/>
      <c r="F175" s="28"/>
    </row>
    <row r="176">
      <c r="B176" s="28"/>
      <c r="C176" s="28"/>
      <c r="D176" s="28"/>
      <c r="E176" s="28"/>
      <c r="F176" s="28"/>
    </row>
    <row r="177">
      <c r="B177" s="28"/>
      <c r="C177" s="28"/>
      <c r="D177" s="28"/>
      <c r="E177" s="28"/>
      <c r="F177" s="28"/>
    </row>
    <row r="178">
      <c r="B178" s="28"/>
      <c r="C178" s="28"/>
      <c r="D178" s="28"/>
      <c r="E178" s="28"/>
      <c r="F178" s="28"/>
    </row>
    <row r="179">
      <c r="B179" s="28"/>
      <c r="C179" s="28"/>
      <c r="D179" s="28"/>
      <c r="E179" s="28"/>
      <c r="F179" s="28"/>
    </row>
    <row r="180">
      <c r="B180" s="28"/>
      <c r="C180" s="28"/>
      <c r="D180" s="28"/>
      <c r="E180" s="28"/>
      <c r="F180" s="28"/>
    </row>
    <row r="181">
      <c r="B181" s="28"/>
      <c r="C181" s="28"/>
      <c r="D181" s="28"/>
      <c r="E181" s="28"/>
      <c r="F181" s="28"/>
    </row>
    <row r="182">
      <c r="B182" s="28"/>
      <c r="C182" s="28"/>
      <c r="D182" s="28"/>
      <c r="E182" s="28"/>
      <c r="F182" s="28"/>
    </row>
    <row r="183">
      <c r="B183" s="28"/>
      <c r="C183" s="28"/>
      <c r="D183" s="28"/>
      <c r="E183" s="28"/>
      <c r="F183" s="28"/>
    </row>
    <row r="184">
      <c r="B184" s="28"/>
      <c r="C184" s="28"/>
      <c r="D184" s="28"/>
      <c r="E184" s="28"/>
      <c r="F184" s="28"/>
    </row>
    <row r="185">
      <c r="B185" s="28"/>
      <c r="C185" s="28"/>
      <c r="D185" s="28"/>
      <c r="E185" s="28"/>
      <c r="F185" s="28"/>
    </row>
    <row r="186">
      <c r="B186" s="28"/>
      <c r="C186" s="28"/>
      <c r="D186" s="28"/>
      <c r="E186" s="28"/>
      <c r="F186" s="28"/>
    </row>
    <row r="187">
      <c r="B187" s="28"/>
      <c r="C187" s="28"/>
      <c r="D187" s="28"/>
      <c r="E187" s="28"/>
      <c r="F187" s="28"/>
    </row>
    <row r="188">
      <c r="B188" s="28"/>
      <c r="C188" s="28"/>
      <c r="D188" s="28"/>
      <c r="E188" s="28"/>
      <c r="F188" s="28"/>
    </row>
    <row r="189">
      <c r="B189" s="28"/>
      <c r="C189" s="28"/>
      <c r="D189" s="28"/>
      <c r="E189" s="28"/>
      <c r="F189" s="28"/>
    </row>
    <row r="190">
      <c r="B190" s="28"/>
      <c r="C190" s="28"/>
      <c r="D190" s="28"/>
      <c r="E190" s="28"/>
      <c r="F190" s="28"/>
    </row>
    <row r="191">
      <c r="B191" s="28"/>
      <c r="C191" s="28"/>
      <c r="D191" s="28"/>
      <c r="E191" s="28"/>
      <c r="F191" s="28"/>
    </row>
    <row r="192">
      <c r="B192" s="28"/>
      <c r="C192" s="28"/>
      <c r="D192" s="28"/>
      <c r="E192" s="28"/>
      <c r="F192" s="28"/>
    </row>
    <row r="193">
      <c r="B193" s="28"/>
      <c r="C193" s="28"/>
      <c r="D193" s="28"/>
      <c r="E193" s="28"/>
      <c r="F193" s="28"/>
    </row>
    <row r="194">
      <c r="B194" s="28"/>
      <c r="C194" s="28"/>
      <c r="D194" s="28"/>
      <c r="E194" s="28"/>
      <c r="F194" s="28"/>
    </row>
    <row r="195">
      <c r="B195" s="28"/>
      <c r="C195" s="28"/>
      <c r="D195" s="28"/>
      <c r="E195" s="28"/>
      <c r="F195" s="28"/>
    </row>
    <row r="196">
      <c r="B196" s="28"/>
      <c r="C196" s="28"/>
      <c r="D196" s="28"/>
      <c r="E196" s="28"/>
      <c r="F196" s="28"/>
    </row>
    <row r="197">
      <c r="B197" s="28"/>
      <c r="C197" s="28"/>
      <c r="D197" s="28"/>
      <c r="E197" s="28"/>
      <c r="F197" s="28"/>
    </row>
    <row r="198">
      <c r="B198" s="28"/>
      <c r="C198" s="28"/>
      <c r="D198" s="28"/>
      <c r="E198" s="28"/>
      <c r="F198" s="28"/>
    </row>
    <row r="199">
      <c r="B199" s="28"/>
      <c r="C199" s="28"/>
      <c r="D199" s="28"/>
      <c r="E199" s="28"/>
      <c r="F199" s="28"/>
    </row>
    <row r="200">
      <c r="B200" s="28"/>
      <c r="C200" s="28"/>
      <c r="D200" s="28"/>
      <c r="E200" s="28"/>
      <c r="F200" s="28"/>
    </row>
    <row r="201">
      <c r="B201" s="28"/>
      <c r="C201" s="28"/>
      <c r="D201" s="28"/>
      <c r="E201" s="28"/>
      <c r="F201" s="28"/>
    </row>
    <row r="202">
      <c r="B202" s="28"/>
      <c r="C202" s="28"/>
      <c r="D202" s="28"/>
      <c r="E202" s="28"/>
      <c r="F202" s="28"/>
    </row>
    <row r="203">
      <c r="B203" s="28"/>
      <c r="C203" s="28"/>
      <c r="D203" s="28"/>
      <c r="E203" s="28"/>
      <c r="F203" s="28"/>
    </row>
    <row r="204">
      <c r="B204" s="28"/>
      <c r="C204" s="28"/>
      <c r="D204" s="28"/>
      <c r="E204" s="28"/>
      <c r="F204" s="28"/>
    </row>
    <row r="205">
      <c r="B205" s="28"/>
      <c r="C205" s="28"/>
      <c r="D205" s="28"/>
      <c r="E205" s="28"/>
      <c r="F205" s="28"/>
    </row>
    <row r="206">
      <c r="B206" s="28"/>
      <c r="C206" s="28"/>
      <c r="D206" s="28"/>
      <c r="E206" s="28"/>
      <c r="F206" s="28"/>
    </row>
    <row r="207">
      <c r="B207" s="28"/>
      <c r="C207" s="28"/>
      <c r="D207" s="28"/>
      <c r="E207" s="28"/>
      <c r="F207" s="28"/>
    </row>
    <row r="208">
      <c r="B208" s="28"/>
      <c r="C208" s="28"/>
      <c r="D208" s="28"/>
      <c r="E208" s="28"/>
      <c r="F208" s="28"/>
    </row>
    <row r="209">
      <c r="B209" s="28"/>
      <c r="C209" s="28"/>
      <c r="D209" s="28"/>
      <c r="E209" s="28"/>
      <c r="F209" s="28"/>
    </row>
    <row r="210">
      <c r="B210" s="28"/>
      <c r="C210" s="28"/>
      <c r="D210" s="28"/>
      <c r="E210" s="28"/>
      <c r="F210" s="28"/>
    </row>
    <row r="211">
      <c r="B211" s="28"/>
      <c r="C211" s="28"/>
      <c r="D211" s="28"/>
      <c r="E211" s="28"/>
      <c r="F211" s="28"/>
    </row>
    <row r="212">
      <c r="B212" s="28"/>
      <c r="C212" s="28"/>
      <c r="D212" s="28"/>
      <c r="E212" s="28"/>
      <c r="F212" s="28"/>
    </row>
    <row r="213">
      <c r="B213" s="28"/>
      <c r="C213" s="28"/>
      <c r="D213" s="28"/>
      <c r="E213" s="28"/>
      <c r="F213" s="28"/>
    </row>
    <row r="214">
      <c r="B214" s="28"/>
      <c r="C214" s="28"/>
      <c r="D214" s="28"/>
      <c r="E214" s="28"/>
      <c r="F214" s="28"/>
    </row>
    <row r="215">
      <c r="B215" s="28"/>
      <c r="C215" s="28"/>
      <c r="D215" s="28"/>
      <c r="E215" s="28"/>
      <c r="F215" s="28"/>
    </row>
    <row r="216">
      <c r="B216" s="28"/>
      <c r="C216" s="28"/>
      <c r="D216" s="28"/>
      <c r="E216" s="28"/>
      <c r="F216" s="28"/>
    </row>
    <row r="217">
      <c r="B217" s="28"/>
      <c r="C217" s="28"/>
      <c r="D217" s="28"/>
      <c r="E217" s="28"/>
      <c r="F217" s="28"/>
    </row>
    <row r="218">
      <c r="B218" s="28"/>
      <c r="C218" s="28"/>
      <c r="D218" s="28"/>
      <c r="E218" s="28"/>
      <c r="F218" s="28"/>
    </row>
    <row r="219">
      <c r="B219" s="28"/>
      <c r="C219" s="28"/>
      <c r="D219" s="28"/>
      <c r="E219" s="28"/>
      <c r="F219" s="28"/>
    </row>
    <row r="220">
      <c r="B220" s="28"/>
      <c r="C220" s="28"/>
      <c r="D220" s="28"/>
      <c r="E220" s="28"/>
      <c r="F220" s="28"/>
    </row>
    <row r="221">
      <c r="B221" s="28"/>
      <c r="C221" s="28"/>
      <c r="D221" s="28"/>
      <c r="E221" s="28"/>
      <c r="F221" s="28"/>
    </row>
    <row r="222">
      <c r="B222" s="28"/>
      <c r="C222" s="28"/>
      <c r="D222" s="28"/>
      <c r="E222" s="28"/>
      <c r="F222" s="28"/>
    </row>
    <row r="223">
      <c r="B223" s="28"/>
      <c r="C223" s="28"/>
      <c r="D223" s="28"/>
      <c r="E223" s="28"/>
      <c r="F223" s="28"/>
    </row>
    <row r="224">
      <c r="B224" s="28"/>
      <c r="C224" s="28"/>
      <c r="D224" s="28"/>
      <c r="E224" s="28"/>
      <c r="F224" s="28"/>
    </row>
    <row r="225">
      <c r="B225" s="28"/>
      <c r="C225" s="28"/>
      <c r="D225" s="28"/>
      <c r="E225" s="28"/>
      <c r="F225" s="28"/>
    </row>
    <row r="226">
      <c r="B226" s="28"/>
      <c r="C226" s="28"/>
      <c r="D226" s="28"/>
      <c r="E226" s="28"/>
      <c r="F226" s="28"/>
    </row>
    <row r="227">
      <c r="B227" s="28"/>
      <c r="C227" s="28"/>
      <c r="D227" s="28"/>
      <c r="E227" s="28"/>
      <c r="F227" s="28"/>
    </row>
    <row r="228">
      <c r="B228" s="28"/>
      <c r="C228" s="28"/>
      <c r="D228" s="28"/>
      <c r="E228" s="28"/>
      <c r="F228" s="28"/>
    </row>
    <row r="229">
      <c r="B229" s="28"/>
      <c r="C229" s="28"/>
      <c r="D229" s="28"/>
      <c r="E229" s="28"/>
      <c r="F229" s="28"/>
    </row>
    <row r="230">
      <c r="B230" s="28"/>
      <c r="C230" s="28"/>
      <c r="D230" s="28"/>
      <c r="E230" s="28"/>
      <c r="F230" s="28"/>
    </row>
    <row r="231">
      <c r="B231" s="28"/>
      <c r="C231" s="28"/>
      <c r="D231" s="28"/>
      <c r="E231" s="28"/>
      <c r="F231" s="28"/>
    </row>
    <row r="232">
      <c r="B232" s="28"/>
      <c r="C232" s="28"/>
      <c r="D232" s="28"/>
      <c r="E232" s="28"/>
      <c r="F232" s="28"/>
    </row>
    <row r="233">
      <c r="B233" s="28"/>
      <c r="C233" s="28"/>
      <c r="D233" s="28"/>
      <c r="E233" s="28"/>
      <c r="F233" s="28"/>
    </row>
    <row r="234">
      <c r="B234" s="28"/>
      <c r="C234" s="28"/>
      <c r="D234" s="28"/>
      <c r="E234" s="28"/>
      <c r="F234" s="28"/>
    </row>
    <row r="235">
      <c r="B235" s="28"/>
      <c r="C235" s="28"/>
      <c r="D235" s="28"/>
      <c r="E235" s="28"/>
      <c r="F235" s="28"/>
    </row>
    <row r="236">
      <c r="B236" s="28"/>
      <c r="C236" s="28"/>
      <c r="D236" s="28"/>
      <c r="E236" s="28"/>
      <c r="F236" s="28"/>
    </row>
    <row r="237">
      <c r="B237" s="28"/>
      <c r="C237" s="28"/>
      <c r="D237" s="28"/>
      <c r="E237" s="28"/>
      <c r="F237" s="28"/>
    </row>
    <row r="238">
      <c r="B238" s="28"/>
      <c r="C238" s="28"/>
      <c r="D238" s="28"/>
      <c r="E238" s="28"/>
      <c r="F238" s="28"/>
    </row>
    <row r="239">
      <c r="B239" s="28"/>
      <c r="C239" s="28"/>
      <c r="D239" s="28"/>
      <c r="E239" s="28"/>
      <c r="F239" s="28"/>
    </row>
    <row r="240">
      <c r="B240" s="28"/>
      <c r="C240" s="28"/>
      <c r="D240" s="28"/>
      <c r="E240" s="28"/>
      <c r="F240" s="28"/>
    </row>
    <row r="241">
      <c r="B241" s="28"/>
      <c r="C241" s="28"/>
      <c r="D241" s="28"/>
      <c r="E241" s="28"/>
      <c r="F241" s="28"/>
    </row>
    <row r="242">
      <c r="B242" s="28"/>
      <c r="C242" s="28"/>
      <c r="D242" s="28"/>
      <c r="E242" s="28"/>
      <c r="F242" s="28"/>
    </row>
    <row r="243">
      <c r="B243" s="28"/>
      <c r="C243" s="28"/>
      <c r="D243" s="28"/>
      <c r="E243" s="28"/>
      <c r="F243" s="28"/>
    </row>
    <row r="244">
      <c r="B244" s="28"/>
      <c r="C244" s="28"/>
      <c r="D244" s="28"/>
      <c r="E244" s="28"/>
      <c r="F244" s="28"/>
    </row>
    <row r="245">
      <c r="B245" s="28"/>
      <c r="C245" s="28"/>
      <c r="D245" s="28"/>
      <c r="E245" s="28"/>
      <c r="F245" s="28"/>
    </row>
    <row r="246">
      <c r="B246" s="28"/>
      <c r="C246" s="28"/>
      <c r="D246" s="28"/>
      <c r="E246" s="28"/>
      <c r="F246" s="28"/>
    </row>
    <row r="247">
      <c r="B247" s="28"/>
      <c r="C247" s="28"/>
      <c r="D247" s="28"/>
      <c r="E247" s="28"/>
      <c r="F247" s="28"/>
    </row>
    <row r="248">
      <c r="B248" s="28"/>
      <c r="C248" s="28"/>
      <c r="D248" s="28"/>
      <c r="E248" s="28"/>
      <c r="F248" s="28"/>
    </row>
    <row r="249">
      <c r="B249" s="28"/>
      <c r="C249" s="28"/>
      <c r="D249" s="28"/>
      <c r="E249" s="28"/>
      <c r="F249" s="28"/>
    </row>
    <row r="250">
      <c r="B250" s="28"/>
      <c r="C250" s="28"/>
      <c r="D250" s="28"/>
      <c r="E250" s="28"/>
      <c r="F250" s="28"/>
    </row>
    <row r="251">
      <c r="B251" s="28"/>
      <c r="C251" s="28"/>
      <c r="D251" s="28"/>
      <c r="E251" s="28"/>
      <c r="F251" s="28"/>
    </row>
    <row r="252">
      <c r="B252" s="28"/>
      <c r="C252" s="28"/>
      <c r="D252" s="28"/>
      <c r="E252" s="28"/>
      <c r="F252" s="28"/>
    </row>
    <row r="253">
      <c r="B253" s="28"/>
      <c r="C253" s="28"/>
      <c r="D253" s="28"/>
      <c r="E253" s="28"/>
      <c r="F253" s="28"/>
    </row>
    <row r="254">
      <c r="B254" s="28"/>
      <c r="C254" s="28"/>
      <c r="D254" s="28"/>
      <c r="E254" s="28"/>
      <c r="F254" s="28"/>
    </row>
    <row r="255">
      <c r="B255" s="28"/>
      <c r="C255" s="28"/>
      <c r="D255" s="28"/>
      <c r="E255" s="28"/>
      <c r="F255" s="28"/>
    </row>
    <row r="256">
      <c r="B256" s="28"/>
      <c r="C256" s="28"/>
      <c r="D256" s="28"/>
      <c r="E256" s="28"/>
      <c r="F256" s="28"/>
    </row>
    <row r="257">
      <c r="B257" s="28"/>
      <c r="C257" s="28"/>
      <c r="D257" s="28"/>
      <c r="E257" s="28"/>
      <c r="F257" s="28"/>
    </row>
    <row r="258">
      <c r="B258" s="28"/>
      <c r="C258" s="28"/>
      <c r="D258" s="28"/>
      <c r="E258" s="28"/>
      <c r="F258" s="28"/>
    </row>
    <row r="259">
      <c r="B259" s="28"/>
      <c r="C259" s="28"/>
      <c r="D259" s="28"/>
      <c r="E259" s="28"/>
      <c r="F259" s="28"/>
    </row>
    <row r="260">
      <c r="B260" s="28"/>
      <c r="C260" s="28"/>
      <c r="D260" s="28"/>
      <c r="E260" s="28"/>
      <c r="F260" s="28"/>
    </row>
    <row r="261">
      <c r="B261" s="28"/>
      <c r="C261" s="28"/>
      <c r="D261" s="28"/>
      <c r="E261" s="28"/>
      <c r="F261" s="28"/>
    </row>
    <row r="262">
      <c r="B262" s="28"/>
      <c r="C262" s="28"/>
      <c r="D262" s="28"/>
      <c r="E262" s="28"/>
      <c r="F262" s="28"/>
    </row>
    <row r="263">
      <c r="B263" s="28"/>
      <c r="C263" s="28"/>
      <c r="D263" s="28"/>
      <c r="E263" s="28"/>
      <c r="F263" s="28"/>
    </row>
    <row r="264">
      <c r="B264" s="28"/>
      <c r="C264" s="28"/>
      <c r="D264" s="28"/>
      <c r="E264" s="28"/>
      <c r="F264" s="28"/>
    </row>
    <row r="265">
      <c r="B265" s="28"/>
      <c r="C265" s="28"/>
      <c r="D265" s="28"/>
      <c r="E265" s="28"/>
      <c r="F265" s="28"/>
    </row>
    <row r="266">
      <c r="B266" s="28"/>
      <c r="C266" s="28"/>
      <c r="D266" s="28"/>
      <c r="E266" s="28"/>
      <c r="F266" s="28"/>
    </row>
    <row r="267">
      <c r="B267" s="28"/>
      <c r="C267" s="28"/>
      <c r="D267" s="28"/>
      <c r="E267" s="28"/>
      <c r="F267" s="28"/>
    </row>
    <row r="268">
      <c r="B268" s="28"/>
      <c r="C268" s="28"/>
      <c r="D268" s="28"/>
      <c r="E268" s="28"/>
      <c r="F268" s="28"/>
    </row>
    <row r="269">
      <c r="B269" s="28"/>
      <c r="C269" s="28"/>
      <c r="D269" s="28"/>
      <c r="E269" s="28"/>
      <c r="F269" s="28"/>
    </row>
    <row r="270">
      <c r="B270" s="28"/>
      <c r="C270" s="28"/>
      <c r="D270" s="28"/>
      <c r="E270" s="28"/>
      <c r="F270" s="28"/>
    </row>
    <row r="271">
      <c r="B271" s="28"/>
      <c r="C271" s="28"/>
      <c r="D271" s="28"/>
      <c r="E271" s="28"/>
      <c r="F271" s="28"/>
    </row>
    <row r="272">
      <c r="B272" s="28"/>
      <c r="C272" s="28"/>
      <c r="D272" s="28"/>
      <c r="E272" s="28"/>
      <c r="F272" s="28"/>
    </row>
    <row r="273">
      <c r="B273" s="28"/>
      <c r="C273" s="28"/>
      <c r="D273" s="28"/>
      <c r="E273" s="28"/>
      <c r="F273" s="28"/>
    </row>
    <row r="274">
      <c r="B274" s="28"/>
      <c r="C274" s="28"/>
      <c r="D274" s="28"/>
      <c r="E274" s="28"/>
      <c r="F274" s="28"/>
    </row>
    <row r="275">
      <c r="B275" s="28"/>
      <c r="C275" s="28"/>
      <c r="D275" s="28"/>
      <c r="E275" s="28"/>
      <c r="F275" s="28"/>
    </row>
    <row r="276">
      <c r="B276" s="28"/>
      <c r="C276" s="28"/>
      <c r="D276" s="28"/>
      <c r="E276" s="28"/>
      <c r="F276" s="28"/>
    </row>
    <row r="277">
      <c r="B277" s="28"/>
      <c r="C277" s="28"/>
      <c r="D277" s="28"/>
      <c r="E277" s="28"/>
      <c r="F277" s="28"/>
    </row>
    <row r="278">
      <c r="B278" s="28"/>
      <c r="C278" s="28"/>
      <c r="D278" s="28"/>
      <c r="E278" s="28"/>
      <c r="F278" s="28"/>
    </row>
    <row r="279">
      <c r="B279" s="28"/>
      <c r="C279" s="28"/>
      <c r="D279" s="28"/>
      <c r="E279" s="28"/>
      <c r="F279" s="28"/>
    </row>
    <row r="280">
      <c r="B280" s="28"/>
      <c r="C280" s="28"/>
      <c r="D280" s="28"/>
      <c r="E280" s="28"/>
      <c r="F280" s="28"/>
    </row>
    <row r="281">
      <c r="B281" s="28"/>
      <c r="C281" s="28"/>
      <c r="D281" s="28"/>
      <c r="E281" s="28"/>
      <c r="F281" s="28"/>
    </row>
    <row r="282">
      <c r="B282" s="28"/>
      <c r="C282" s="28"/>
      <c r="D282" s="28"/>
      <c r="E282" s="28"/>
      <c r="F282" s="28"/>
    </row>
    <row r="283">
      <c r="B283" s="28"/>
      <c r="C283" s="28"/>
      <c r="D283" s="28"/>
      <c r="E283" s="28"/>
      <c r="F283" s="28"/>
    </row>
    <row r="284">
      <c r="B284" s="28"/>
      <c r="C284" s="28"/>
      <c r="D284" s="28"/>
      <c r="E284" s="28"/>
      <c r="F284" s="28"/>
    </row>
    <row r="285">
      <c r="B285" s="28"/>
      <c r="C285" s="28"/>
      <c r="D285" s="28"/>
      <c r="E285" s="28"/>
      <c r="F285" s="28"/>
    </row>
    <row r="286">
      <c r="B286" s="28"/>
      <c r="C286" s="28"/>
      <c r="D286" s="28"/>
      <c r="E286" s="28"/>
      <c r="F286" s="28"/>
    </row>
    <row r="287">
      <c r="B287" s="28"/>
      <c r="C287" s="28"/>
      <c r="D287" s="28"/>
      <c r="E287" s="28"/>
      <c r="F287" s="28"/>
    </row>
    <row r="288">
      <c r="B288" s="28"/>
      <c r="C288" s="28"/>
      <c r="D288" s="28"/>
      <c r="E288" s="28"/>
      <c r="F288" s="28"/>
    </row>
    <row r="289">
      <c r="B289" s="28"/>
      <c r="C289" s="28"/>
      <c r="D289" s="28"/>
      <c r="E289" s="28"/>
      <c r="F289" s="28"/>
    </row>
    <row r="290">
      <c r="B290" s="28"/>
      <c r="C290" s="28"/>
      <c r="D290" s="28"/>
      <c r="E290" s="28"/>
      <c r="F290" s="28"/>
    </row>
    <row r="291">
      <c r="B291" s="28"/>
      <c r="C291" s="28"/>
      <c r="D291" s="28"/>
      <c r="E291" s="28"/>
      <c r="F291" s="28"/>
    </row>
    <row r="292">
      <c r="B292" s="28"/>
      <c r="C292" s="28"/>
      <c r="D292" s="28"/>
      <c r="E292" s="28"/>
      <c r="F292" s="28"/>
    </row>
    <row r="293">
      <c r="B293" s="28"/>
      <c r="C293" s="28"/>
      <c r="D293" s="28"/>
      <c r="E293" s="28"/>
      <c r="F293" s="28"/>
    </row>
    <row r="294">
      <c r="B294" s="28"/>
      <c r="C294" s="28"/>
      <c r="D294" s="28"/>
      <c r="E294" s="28"/>
      <c r="F294" s="28"/>
    </row>
    <row r="295">
      <c r="B295" s="28"/>
      <c r="C295" s="28"/>
      <c r="D295" s="28"/>
      <c r="E295" s="28"/>
      <c r="F295" s="28"/>
    </row>
    <row r="296">
      <c r="B296" s="28"/>
      <c r="C296" s="28"/>
      <c r="D296" s="28"/>
      <c r="E296" s="28"/>
      <c r="F296" s="28"/>
    </row>
    <row r="297">
      <c r="B297" s="28"/>
      <c r="C297" s="28"/>
      <c r="D297" s="28"/>
      <c r="E297" s="28"/>
      <c r="F297" s="28"/>
    </row>
    <row r="298">
      <c r="B298" s="28"/>
      <c r="C298" s="28"/>
      <c r="D298" s="28"/>
      <c r="E298" s="28"/>
      <c r="F298" s="28"/>
    </row>
    <row r="299">
      <c r="B299" s="28"/>
      <c r="C299" s="28"/>
      <c r="D299" s="28"/>
      <c r="E299" s="28"/>
      <c r="F299" s="28"/>
    </row>
    <row r="300">
      <c r="B300" s="28"/>
      <c r="C300" s="28"/>
      <c r="D300" s="28"/>
      <c r="E300" s="28"/>
      <c r="F300" s="28"/>
    </row>
    <row r="301">
      <c r="B301" s="28"/>
      <c r="C301" s="28"/>
      <c r="D301" s="28"/>
      <c r="E301" s="28"/>
      <c r="F301" s="28"/>
    </row>
    <row r="302">
      <c r="B302" s="28"/>
      <c r="C302" s="28"/>
      <c r="D302" s="28"/>
      <c r="E302" s="28"/>
      <c r="F302" s="28"/>
    </row>
    <row r="303">
      <c r="B303" s="28"/>
      <c r="C303" s="28"/>
      <c r="D303" s="28"/>
      <c r="E303" s="28"/>
      <c r="F303" s="28"/>
    </row>
    <row r="304">
      <c r="B304" s="28"/>
      <c r="C304" s="28"/>
      <c r="D304" s="28"/>
      <c r="E304" s="28"/>
      <c r="F304" s="28"/>
    </row>
    <row r="305">
      <c r="B305" s="28"/>
      <c r="C305" s="28"/>
      <c r="D305" s="28"/>
      <c r="E305" s="28"/>
      <c r="F305" s="28"/>
    </row>
    <row r="306">
      <c r="B306" s="28"/>
      <c r="C306" s="28"/>
      <c r="D306" s="28"/>
      <c r="E306" s="28"/>
      <c r="F306" s="28"/>
    </row>
    <row r="307">
      <c r="B307" s="28"/>
      <c r="C307" s="28"/>
      <c r="D307" s="28"/>
      <c r="E307" s="28"/>
      <c r="F307" s="28"/>
    </row>
    <row r="308">
      <c r="B308" s="28"/>
      <c r="C308" s="28"/>
      <c r="D308" s="28"/>
      <c r="E308" s="28"/>
      <c r="F308" s="28"/>
    </row>
    <row r="309">
      <c r="B309" s="28"/>
      <c r="C309" s="28"/>
      <c r="D309" s="28"/>
      <c r="E309" s="28"/>
      <c r="F309" s="28"/>
    </row>
    <row r="310">
      <c r="B310" s="28"/>
      <c r="C310" s="28"/>
      <c r="D310" s="28"/>
      <c r="E310" s="28"/>
      <c r="F310" s="28"/>
    </row>
    <row r="311">
      <c r="B311" s="28"/>
      <c r="C311" s="28"/>
      <c r="D311" s="28"/>
      <c r="E311" s="28"/>
      <c r="F311" s="28"/>
    </row>
    <row r="312">
      <c r="B312" s="28"/>
      <c r="C312" s="28"/>
      <c r="D312" s="28"/>
      <c r="E312" s="28"/>
      <c r="F312" s="28"/>
    </row>
    <row r="313">
      <c r="B313" s="28"/>
      <c r="C313" s="28"/>
      <c r="D313" s="28"/>
      <c r="E313" s="28"/>
      <c r="F313" s="28"/>
    </row>
    <row r="314">
      <c r="B314" s="28"/>
      <c r="C314" s="28"/>
      <c r="D314" s="28"/>
      <c r="E314" s="28"/>
      <c r="F314" s="28"/>
    </row>
    <row r="315">
      <c r="B315" s="28"/>
      <c r="C315" s="28"/>
      <c r="D315" s="28"/>
      <c r="E315" s="28"/>
      <c r="F315" s="28"/>
    </row>
    <row r="316">
      <c r="B316" s="28"/>
      <c r="C316" s="28"/>
      <c r="D316" s="28"/>
      <c r="E316" s="28"/>
      <c r="F316" s="28"/>
    </row>
    <row r="317">
      <c r="B317" s="28"/>
      <c r="C317" s="28"/>
      <c r="D317" s="28"/>
      <c r="E317" s="28"/>
      <c r="F317" s="28"/>
    </row>
    <row r="318">
      <c r="B318" s="28"/>
      <c r="C318" s="28"/>
      <c r="D318" s="28"/>
      <c r="E318" s="28"/>
      <c r="F318" s="28"/>
    </row>
    <row r="319">
      <c r="B319" s="28"/>
      <c r="C319" s="28"/>
      <c r="D319" s="28"/>
      <c r="E319" s="28"/>
      <c r="F319" s="28"/>
    </row>
    <row r="320">
      <c r="B320" s="28"/>
      <c r="C320" s="28"/>
      <c r="D320" s="28"/>
      <c r="E320" s="28"/>
      <c r="F320" s="28"/>
    </row>
    <row r="321">
      <c r="B321" s="28"/>
      <c r="C321" s="28"/>
      <c r="D321" s="28"/>
      <c r="E321" s="28"/>
      <c r="F321" s="28"/>
    </row>
    <row r="322">
      <c r="B322" s="28"/>
      <c r="C322" s="28"/>
      <c r="D322" s="28"/>
      <c r="E322" s="28"/>
      <c r="F322" s="28"/>
    </row>
    <row r="323">
      <c r="B323" s="28"/>
      <c r="C323" s="28"/>
      <c r="D323" s="28"/>
      <c r="E323" s="28"/>
      <c r="F323" s="28"/>
    </row>
    <row r="324">
      <c r="B324" s="28"/>
      <c r="C324" s="28"/>
      <c r="D324" s="28"/>
      <c r="E324" s="28"/>
      <c r="F324" s="28"/>
    </row>
    <row r="325">
      <c r="B325" s="28"/>
      <c r="C325" s="28"/>
      <c r="D325" s="28"/>
      <c r="E325" s="28"/>
      <c r="F325" s="28"/>
    </row>
    <row r="326">
      <c r="B326" s="28"/>
      <c r="C326" s="28"/>
      <c r="D326" s="28"/>
      <c r="E326" s="28"/>
      <c r="F326" s="28"/>
    </row>
    <row r="327">
      <c r="B327" s="28"/>
      <c r="C327" s="28"/>
      <c r="D327" s="28"/>
      <c r="E327" s="28"/>
      <c r="F327" s="28"/>
    </row>
    <row r="328">
      <c r="B328" s="28"/>
      <c r="C328" s="28"/>
      <c r="D328" s="28"/>
      <c r="E328" s="28"/>
      <c r="F328" s="28"/>
    </row>
    <row r="329">
      <c r="B329" s="28"/>
      <c r="C329" s="28"/>
      <c r="D329" s="28"/>
      <c r="E329" s="28"/>
      <c r="F329" s="28"/>
    </row>
    <row r="330">
      <c r="B330" s="28"/>
      <c r="C330" s="28"/>
      <c r="D330" s="28"/>
      <c r="E330" s="28"/>
      <c r="F330" s="28"/>
    </row>
    <row r="331">
      <c r="B331" s="28"/>
      <c r="C331" s="28"/>
      <c r="D331" s="28"/>
      <c r="E331" s="28"/>
      <c r="F331" s="28"/>
    </row>
    <row r="332">
      <c r="B332" s="28"/>
      <c r="C332" s="28"/>
      <c r="D332" s="28"/>
      <c r="E332" s="28"/>
      <c r="F332" s="28"/>
    </row>
    <row r="333">
      <c r="B333" s="28"/>
      <c r="C333" s="28"/>
      <c r="D333" s="28"/>
      <c r="E333" s="28"/>
      <c r="F333" s="28"/>
    </row>
    <row r="334">
      <c r="B334" s="28"/>
      <c r="C334" s="28"/>
      <c r="D334" s="28"/>
      <c r="E334" s="28"/>
      <c r="F334" s="28"/>
    </row>
    <row r="335">
      <c r="B335" s="28"/>
      <c r="C335" s="28"/>
      <c r="D335" s="28"/>
      <c r="E335" s="28"/>
      <c r="F335" s="28"/>
    </row>
    <row r="336">
      <c r="B336" s="28"/>
      <c r="C336" s="28"/>
      <c r="D336" s="28"/>
      <c r="E336" s="28"/>
      <c r="F336" s="28"/>
    </row>
    <row r="337">
      <c r="B337" s="28"/>
      <c r="C337" s="28"/>
      <c r="D337" s="28"/>
      <c r="E337" s="28"/>
      <c r="F337" s="28"/>
    </row>
    <row r="338">
      <c r="B338" s="28"/>
      <c r="C338" s="28"/>
      <c r="D338" s="28"/>
      <c r="E338" s="28"/>
      <c r="F338" s="28"/>
    </row>
    <row r="339">
      <c r="B339" s="28"/>
      <c r="C339" s="28"/>
      <c r="D339" s="28"/>
      <c r="E339" s="28"/>
      <c r="F339" s="28"/>
    </row>
    <row r="340">
      <c r="B340" s="28"/>
      <c r="C340" s="28"/>
      <c r="D340" s="28"/>
      <c r="E340" s="28"/>
      <c r="F340" s="28"/>
    </row>
    <row r="341">
      <c r="B341" s="28"/>
      <c r="C341" s="28"/>
      <c r="D341" s="28"/>
      <c r="E341" s="28"/>
      <c r="F341" s="28"/>
    </row>
    <row r="342">
      <c r="B342" s="28"/>
      <c r="C342" s="28"/>
      <c r="D342" s="28"/>
      <c r="E342" s="28"/>
      <c r="F342" s="28"/>
    </row>
    <row r="343">
      <c r="B343" s="28"/>
      <c r="C343" s="28"/>
      <c r="D343" s="28"/>
      <c r="E343" s="28"/>
      <c r="F343" s="28"/>
    </row>
    <row r="344">
      <c r="B344" s="28"/>
      <c r="C344" s="28"/>
      <c r="D344" s="28"/>
      <c r="E344" s="28"/>
      <c r="F344" s="28"/>
    </row>
    <row r="345">
      <c r="B345" s="28"/>
      <c r="C345" s="28"/>
      <c r="D345" s="28"/>
      <c r="E345" s="28"/>
      <c r="F345" s="28"/>
    </row>
    <row r="346">
      <c r="B346" s="28"/>
      <c r="C346" s="28"/>
      <c r="D346" s="28"/>
      <c r="E346" s="28"/>
      <c r="F346" s="28"/>
    </row>
    <row r="347">
      <c r="B347" s="28"/>
      <c r="C347" s="28"/>
      <c r="D347" s="28"/>
      <c r="E347" s="28"/>
      <c r="F347" s="28"/>
    </row>
    <row r="348">
      <c r="B348" s="28"/>
      <c r="C348" s="28"/>
      <c r="D348" s="28"/>
      <c r="E348" s="28"/>
      <c r="F348" s="28"/>
    </row>
    <row r="349">
      <c r="B349" s="28"/>
      <c r="C349" s="28"/>
      <c r="D349" s="28"/>
      <c r="E349" s="28"/>
      <c r="F349" s="28"/>
    </row>
    <row r="350">
      <c r="B350" s="28"/>
      <c r="C350" s="28"/>
      <c r="D350" s="28"/>
      <c r="E350" s="28"/>
      <c r="F350" s="28"/>
    </row>
    <row r="351">
      <c r="B351" s="28"/>
      <c r="C351" s="28"/>
      <c r="D351" s="28"/>
      <c r="E351" s="28"/>
      <c r="F351" s="28"/>
    </row>
    <row r="352">
      <c r="B352" s="28"/>
      <c r="C352" s="28"/>
      <c r="D352" s="28"/>
      <c r="E352" s="28"/>
      <c r="F352" s="28"/>
    </row>
    <row r="353">
      <c r="B353" s="28"/>
      <c r="C353" s="28"/>
      <c r="D353" s="28"/>
      <c r="E353" s="28"/>
      <c r="F353" s="28"/>
    </row>
    <row r="354">
      <c r="B354" s="28"/>
      <c r="C354" s="28"/>
      <c r="D354" s="28"/>
      <c r="E354" s="28"/>
      <c r="F354" s="28"/>
    </row>
    <row r="355">
      <c r="B355" s="28"/>
      <c r="C355" s="28"/>
      <c r="D355" s="28"/>
      <c r="E355" s="28"/>
      <c r="F355" s="28"/>
    </row>
    <row r="356">
      <c r="B356" s="28"/>
      <c r="C356" s="28"/>
      <c r="D356" s="28"/>
      <c r="E356" s="28"/>
      <c r="F356" s="28"/>
    </row>
    <row r="357">
      <c r="B357" s="28"/>
      <c r="C357" s="28"/>
      <c r="D357" s="28"/>
      <c r="E357" s="28"/>
      <c r="F357" s="28"/>
    </row>
    <row r="358">
      <c r="B358" s="28"/>
      <c r="C358" s="28"/>
      <c r="D358" s="28"/>
      <c r="E358" s="28"/>
      <c r="F358" s="28"/>
    </row>
    <row r="359">
      <c r="B359" s="28"/>
      <c r="C359" s="28"/>
      <c r="D359" s="28"/>
      <c r="E359" s="28"/>
      <c r="F359" s="28"/>
    </row>
    <row r="360">
      <c r="B360" s="28"/>
      <c r="C360" s="28"/>
      <c r="D360" s="28"/>
      <c r="E360" s="28"/>
      <c r="F360" s="28"/>
    </row>
    <row r="361">
      <c r="B361" s="28"/>
      <c r="C361" s="28"/>
      <c r="D361" s="28"/>
      <c r="E361" s="28"/>
      <c r="F361" s="28"/>
    </row>
    <row r="362">
      <c r="B362" s="28"/>
      <c r="C362" s="28"/>
      <c r="D362" s="28"/>
      <c r="E362" s="28"/>
      <c r="F362" s="28"/>
    </row>
    <row r="363">
      <c r="B363" s="28"/>
      <c r="C363" s="28"/>
      <c r="D363" s="28"/>
      <c r="E363" s="28"/>
      <c r="F363" s="28"/>
    </row>
    <row r="364">
      <c r="B364" s="28"/>
      <c r="C364" s="28"/>
      <c r="D364" s="28"/>
      <c r="E364" s="28"/>
      <c r="F364" s="28"/>
    </row>
    <row r="365">
      <c r="B365" s="28"/>
      <c r="C365" s="28"/>
      <c r="D365" s="28"/>
      <c r="E365" s="28"/>
      <c r="F365" s="28"/>
    </row>
    <row r="366">
      <c r="B366" s="28"/>
      <c r="C366" s="28"/>
      <c r="D366" s="28"/>
      <c r="E366" s="28"/>
      <c r="F366" s="28"/>
    </row>
    <row r="367">
      <c r="B367" s="28"/>
      <c r="C367" s="28"/>
      <c r="D367" s="28"/>
      <c r="E367" s="28"/>
      <c r="F367" s="28"/>
    </row>
    <row r="368">
      <c r="B368" s="28"/>
      <c r="C368" s="28"/>
      <c r="D368" s="28"/>
      <c r="E368" s="28"/>
      <c r="F368" s="28"/>
    </row>
    <row r="369">
      <c r="B369" s="28"/>
      <c r="C369" s="28"/>
      <c r="D369" s="28"/>
      <c r="E369" s="28"/>
      <c r="F369" s="28"/>
    </row>
    <row r="370">
      <c r="B370" s="28"/>
      <c r="C370" s="28"/>
      <c r="D370" s="28"/>
      <c r="E370" s="28"/>
      <c r="F370" s="28"/>
    </row>
    <row r="371">
      <c r="B371" s="28"/>
      <c r="C371" s="28"/>
      <c r="D371" s="28"/>
      <c r="E371" s="28"/>
      <c r="F371" s="28"/>
    </row>
    <row r="372">
      <c r="B372" s="28"/>
      <c r="C372" s="28"/>
      <c r="D372" s="28"/>
      <c r="E372" s="28"/>
      <c r="F372" s="28"/>
    </row>
    <row r="373">
      <c r="B373" s="28"/>
      <c r="C373" s="28"/>
      <c r="D373" s="28"/>
      <c r="E373" s="28"/>
      <c r="F373" s="28"/>
    </row>
    <row r="374">
      <c r="B374" s="28"/>
      <c r="C374" s="28"/>
      <c r="D374" s="28"/>
      <c r="E374" s="28"/>
      <c r="F374" s="28"/>
    </row>
    <row r="375">
      <c r="B375" s="28"/>
      <c r="C375" s="28"/>
      <c r="D375" s="28"/>
      <c r="E375" s="28"/>
      <c r="F375" s="28"/>
    </row>
    <row r="376">
      <c r="B376" s="28"/>
      <c r="C376" s="28"/>
      <c r="D376" s="28"/>
      <c r="E376" s="28"/>
      <c r="F376" s="28"/>
    </row>
    <row r="377">
      <c r="B377" s="28"/>
      <c r="C377" s="28"/>
      <c r="D377" s="28"/>
      <c r="E377" s="28"/>
      <c r="F377" s="28"/>
    </row>
    <row r="378">
      <c r="B378" s="28"/>
      <c r="C378" s="28"/>
      <c r="D378" s="28"/>
      <c r="E378" s="28"/>
      <c r="F378" s="28"/>
    </row>
    <row r="379">
      <c r="B379" s="28"/>
      <c r="C379" s="28"/>
      <c r="D379" s="28"/>
      <c r="E379" s="28"/>
      <c r="F379" s="28"/>
    </row>
    <row r="380">
      <c r="B380" s="28"/>
      <c r="C380" s="28"/>
      <c r="D380" s="28"/>
      <c r="E380" s="28"/>
      <c r="F380" s="28"/>
    </row>
    <row r="381">
      <c r="B381" s="28"/>
      <c r="C381" s="28"/>
      <c r="D381" s="28"/>
      <c r="E381" s="28"/>
      <c r="F381" s="28"/>
    </row>
    <row r="382">
      <c r="B382" s="28"/>
      <c r="C382" s="28"/>
      <c r="D382" s="28"/>
      <c r="E382" s="28"/>
      <c r="F382" s="28"/>
    </row>
    <row r="383">
      <c r="B383" s="28"/>
      <c r="C383" s="28"/>
      <c r="D383" s="28"/>
      <c r="E383" s="28"/>
      <c r="F383" s="28"/>
    </row>
    <row r="384">
      <c r="B384" s="28"/>
      <c r="C384" s="28"/>
      <c r="D384" s="28"/>
      <c r="E384" s="28"/>
      <c r="F384" s="28"/>
    </row>
    <row r="385">
      <c r="B385" s="28"/>
      <c r="C385" s="28"/>
      <c r="D385" s="28"/>
      <c r="E385" s="28"/>
      <c r="F385" s="28"/>
    </row>
    <row r="386">
      <c r="B386" s="28"/>
      <c r="C386" s="28"/>
      <c r="D386" s="28"/>
      <c r="E386" s="28"/>
      <c r="F386" s="28"/>
    </row>
    <row r="387">
      <c r="B387" s="28"/>
      <c r="C387" s="28"/>
      <c r="D387" s="28"/>
      <c r="E387" s="28"/>
      <c r="F387" s="28"/>
    </row>
    <row r="388">
      <c r="B388" s="28"/>
      <c r="C388" s="28"/>
      <c r="D388" s="28"/>
      <c r="E388" s="28"/>
      <c r="F388" s="28"/>
    </row>
    <row r="389">
      <c r="B389" s="28"/>
      <c r="C389" s="28"/>
      <c r="D389" s="28"/>
      <c r="E389" s="28"/>
      <c r="F389" s="28"/>
    </row>
    <row r="390">
      <c r="B390" s="28"/>
      <c r="C390" s="28"/>
      <c r="D390" s="28"/>
      <c r="E390" s="28"/>
      <c r="F390" s="28"/>
    </row>
    <row r="391">
      <c r="B391" s="28"/>
      <c r="C391" s="28"/>
      <c r="D391" s="28"/>
      <c r="E391" s="28"/>
      <c r="F391" s="28"/>
    </row>
    <row r="392">
      <c r="B392" s="28"/>
      <c r="C392" s="28"/>
      <c r="D392" s="28"/>
      <c r="E392" s="28"/>
      <c r="F392" s="28"/>
    </row>
    <row r="393">
      <c r="B393" s="28"/>
      <c r="C393" s="28"/>
      <c r="D393" s="28"/>
      <c r="E393" s="28"/>
      <c r="F393" s="28"/>
    </row>
    <row r="394">
      <c r="B394" s="28"/>
      <c r="C394" s="28"/>
      <c r="D394" s="28"/>
      <c r="E394" s="28"/>
      <c r="F394" s="28"/>
    </row>
    <row r="395">
      <c r="B395" s="28"/>
      <c r="C395" s="28"/>
      <c r="D395" s="28"/>
      <c r="E395" s="28"/>
      <c r="F395" s="28"/>
    </row>
    <row r="396">
      <c r="B396" s="28"/>
      <c r="C396" s="28"/>
      <c r="D396" s="28"/>
      <c r="E396" s="28"/>
      <c r="F396" s="28"/>
    </row>
    <row r="397">
      <c r="B397" s="28"/>
      <c r="C397" s="28"/>
      <c r="D397" s="28"/>
      <c r="E397" s="28"/>
      <c r="F397" s="28"/>
    </row>
    <row r="398">
      <c r="B398" s="28"/>
      <c r="C398" s="28"/>
      <c r="D398" s="28"/>
      <c r="E398" s="28"/>
      <c r="F398" s="28"/>
    </row>
    <row r="399">
      <c r="B399" s="28"/>
      <c r="C399" s="28"/>
      <c r="D399" s="28"/>
      <c r="E399" s="28"/>
      <c r="F399" s="28"/>
    </row>
    <row r="400">
      <c r="B400" s="28"/>
      <c r="C400" s="28"/>
      <c r="D400" s="28"/>
      <c r="E400" s="28"/>
      <c r="F400" s="28"/>
    </row>
    <row r="401">
      <c r="B401" s="28"/>
      <c r="C401" s="28"/>
      <c r="D401" s="28"/>
      <c r="E401" s="28"/>
      <c r="F401" s="28"/>
    </row>
    <row r="402">
      <c r="B402" s="28"/>
      <c r="C402" s="28"/>
      <c r="D402" s="28"/>
      <c r="E402" s="28"/>
      <c r="F402" s="28"/>
    </row>
    <row r="403">
      <c r="B403" s="28"/>
      <c r="C403" s="28"/>
      <c r="D403" s="28"/>
      <c r="E403" s="28"/>
      <c r="F403" s="28"/>
    </row>
    <row r="404">
      <c r="B404" s="28"/>
      <c r="C404" s="28"/>
      <c r="D404" s="28"/>
      <c r="E404" s="28"/>
      <c r="F404" s="28"/>
    </row>
    <row r="405">
      <c r="B405" s="28"/>
      <c r="C405" s="28"/>
      <c r="D405" s="28"/>
      <c r="E405" s="28"/>
      <c r="F405" s="28"/>
    </row>
    <row r="406">
      <c r="B406" s="28"/>
      <c r="C406" s="28"/>
      <c r="D406" s="28"/>
      <c r="E406" s="28"/>
      <c r="F406" s="28"/>
    </row>
    <row r="407">
      <c r="B407" s="28"/>
      <c r="C407" s="28"/>
      <c r="D407" s="28"/>
      <c r="E407" s="28"/>
      <c r="F407" s="28"/>
    </row>
    <row r="408">
      <c r="B408" s="28"/>
      <c r="C408" s="28"/>
      <c r="D408" s="28"/>
      <c r="E408" s="28"/>
      <c r="F408" s="28"/>
    </row>
    <row r="409">
      <c r="B409" s="28"/>
      <c r="C409" s="28"/>
      <c r="D409" s="28"/>
      <c r="E409" s="28"/>
      <c r="F409" s="28"/>
    </row>
    <row r="410">
      <c r="B410" s="28"/>
      <c r="C410" s="28"/>
      <c r="D410" s="28"/>
      <c r="E410" s="28"/>
      <c r="F410" s="28"/>
    </row>
    <row r="411">
      <c r="B411" s="28"/>
      <c r="C411" s="28"/>
      <c r="D411" s="28"/>
      <c r="E411" s="28"/>
      <c r="F411" s="28"/>
    </row>
    <row r="412">
      <c r="B412" s="28"/>
      <c r="C412" s="28"/>
      <c r="D412" s="28"/>
      <c r="E412" s="28"/>
      <c r="F412" s="28"/>
    </row>
    <row r="413">
      <c r="B413" s="28"/>
      <c r="C413" s="28"/>
      <c r="D413" s="28"/>
      <c r="E413" s="28"/>
      <c r="F413" s="28"/>
    </row>
    <row r="414">
      <c r="B414" s="28"/>
      <c r="C414" s="28"/>
      <c r="D414" s="28"/>
      <c r="E414" s="28"/>
      <c r="F414" s="28"/>
    </row>
    <row r="415">
      <c r="B415" s="28"/>
      <c r="C415" s="28"/>
      <c r="D415" s="28"/>
      <c r="E415" s="28"/>
      <c r="F415" s="28"/>
    </row>
    <row r="416">
      <c r="B416" s="28"/>
      <c r="C416" s="28"/>
      <c r="D416" s="28"/>
      <c r="E416" s="28"/>
      <c r="F416" s="28"/>
    </row>
    <row r="417">
      <c r="B417" s="28"/>
      <c r="C417" s="28"/>
      <c r="D417" s="28"/>
      <c r="E417" s="28"/>
      <c r="F417" s="28"/>
    </row>
    <row r="418">
      <c r="B418" s="28"/>
      <c r="C418" s="28"/>
      <c r="D418" s="28"/>
      <c r="E418" s="28"/>
      <c r="F418" s="28"/>
    </row>
    <row r="419">
      <c r="B419" s="28"/>
      <c r="C419" s="28"/>
      <c r="D419" s="28"/>
      <c r="E419" s="28"/>
      <c r="F419" s="28"/>
    </row>
    <row r="420">
      <c r="B420" s="28"/>
      <c r="C420" s="28"/>
      <c r="D420" s="28"/>
      <c r="E420" s="28"/>
      <c r="F420" s="28"/>
    </row>
    <row r="421">
      <c r="B421" s="28"/>
      <c r="C421" s="28"/>
      <c r="D421" s="28"/>
      <c r="E421" s="28"/>
      <c r="F421" s="28"/>
    </row>
    <row r="422">
      <c r="B422" s="28"/>
      <c r="C422" s="28"/>
      <c r="D422" s="28"/>
      <c r="E422" s="28"/>
      <c r="F422" s="28"/>
    </row>
    <row r="423">
      <c r="B423" s="28"/>
      <c r="C423" s="28"/>
      <c r="D423" s="28"/>
      <c r="E423" s="28"/>
      <c r="F423" s="28"/>
    </row>
    <row r="424">
      <c r="B424" s="28"/>
      <c r="C424" s="28"/>
      <c r="D424" s="28"/>
      <c r="E424" s="28"/>
      <c r="F424" s="28"/>
    </row>
    <row r="425">
      <c r="B425" s="28"/>
      <c r="C425" s="28"/>
      <c r="D425" s="28"/>
      <c r="E425" s="28"/>
      <c r="F425" s="28"/>
    </row>
    <row r="426">
      <c r="B426" s="28"/>
      <c r="C426" s="28"/>
      <c r="D426" s="28"/>
      <c r="E426" s="28"/>
      <c r="F426" s="28"/>
    </row>
    <row r="427">
      <c r="B427" s="28"/>
      <c r="C427" s="28"/>
      <c r="D427" s="28"/>
      <c r="E427" s="28"/>
      <c r="F427" s="28"/>
    </row>
    <row r="428">
      <c r="B428" s="28"/>
      <c r="C428" s="28"/>
      <c r="D428" s="28"/>
      <c r="E428" s="28"/>
      <c r="F428" s="28"/>
    </row>
    <row r="429">
      <c r="B429" s="28"/>
      <c r="C429" s="28"/>
      <c r="D429" s="28"/>
      <c r="E429" s="28"/>
      <c r="F429" s="28"/>
    </row>
    <row r="430">
      <c r="B430" s="28"/>
      <c r="C430" s="28"/>
      <c r="D430" s="28"/>
      <c r="E430" s="28"/>
      <c r="F430" s="28"/>
    </row>
    <row r="431">
      <c r="B431" s="28"/>
      <c r="C431" s="28"/>
      <c r="D431" s="28"/>
      <c r="E431" s="28"/>
      <c r="F431" s="28"/>
    </row>
    <row r="432">
      <c r="B432" s="28"/>
      <c r="C432" s="28"/>
      <c r="D432" s="28"/>
      <c r="E432" s="28"/>
      <c r="F432" s="28"/>
    </row>
    <row r="433">
      <c r="B433" s="28"/>
      <c r="C433" s="28"/>
      <c r="D433" s="28"/>
      <c r="E433" s="28"/>
      <c r="F433" s="28"/>
    </row>
    <row r="434">
      <c r="B434" s="28"/>
      <c r="C434" s="28"/>
      <c r="D434" s="28"/>
      <c r="E434" s="28"/>
      <c r="F434" s="28"/>
    </row>
    <row r="435">
      <c r="B435" s="28"/>
      <c r="C435" s="28"/>
      <c r="D435" s="28"/>
      <c r="E435" s="28"/>
      <c r="F435" s="28"/>
    </row>
    <row r="436">
      <c r="B436" s="28"/>
      <c r="C436" s="28"/>
      <c r="D436" s="28"/>
      <c r="E436" s="28"/>
      <c r="F436" s="28"/>
    </row>
    <row r="437">
      <c r="B437" s="28"/>
      <c r="C437" s="28"/>
      <c r="D437" s="28"/>
      <c r="E437" s="28"/>
      <c r="F437" s="28"/>
    </row>
    <row r="438">
      <c r="B438" s="28"/>
      <c r="C438" s="28"/>
      <c r="D438" s="28"/>
      <c r="E438" s="28"/>
      <c r="F438" s="28"/>
    </row>
    <row r="439">
      <c r="B439" s="28"/>
      <c r="C439" s="28"/>
      <c r="D439" s="28"/>
      <c r="E439" s="28"/>
      <c r="F439" s="28"/>
    </row>
    <row r="440">
      <c r="B440" s="28"/>
      <c r="C440" s="28"/>
      <c r="D440" s="28"/>
      <c r="E440" s="28"/>
      <c r="F440" s="28"/>
    </row>
    <row r="441">
      <c r="B441" s="28"/>
      <c r="C441" s="28"/>
      <c r="D441" s="28"/>
      <c r="E441" s="28"/>
      <c r="F441" s="28"/>
    </row>
    <row r="442">
      <c r="B442" s="28"/>
      <c r="C442" s="28"/>
      <c r="D442" s="28"/>
      <c r="E442" s="28"/>
      <c r="F442" s="28"/>
    </row>
    <row r="443">
      <c r="B443" s="28"/>
      <c r="C443" s="28"/>
      <c r="D443" s="28"/>
      <c r="E443" s="28"/>
      <c r="F443" s="28"/>
    </row>
    <row r="444">
      <c r="B444" s="28"/>
      <c r="C444" s="28"/>
      <c r="D444" s="28"/>
      <c r="E444" s="28"/>
      <c r="F444" s="28"/>
    </row>
    <row r="445">
      <c r="B445" s="28"/>
      <c r="C445" s="28"/>
      <c r="D445" s="28"/>
      <c r="E445" s="28"/>
      <c r="F445" s="28"/>
    </row>
    <row r="446">
      <c r="B446" s="28"/>
      <c r="C446" s="28"/>
      <c r="D446" s="28"/>
      <c r="E446" s="28"/>
      <c r="F446" s="28"/>
    </row>
    <row r="447">
      <c r="B447" s="28"/>
      <c r="C447" s="28"/>
      <c r="D447" s="28"/>
      <c r="E447" s="28"/>
      <c r="F447" s="28"/>
    </row>
    <row r="448">
      <c r="B448" s="28"/>
      <c r="C448" s="28"/>
      <c r="D448" s="28"/>
      <c r="E448" s="28"/>
      <c r="F448" s="28"/>
    </row>
    <row r="449">
      <c r="B449" s="28"/>
      <c r="C449" s="28"/>
      <c r="D449" s="28"/>
      <c r="E449" s="28"/>
      <c r="F449" s="28"/>
    </row>
    <row r="450">
      <c r="B450" s="28"/>
      <c r="C450" s="28"/>
      <c r="D450" s="28"/>
      <c r="E450" s="28"/>
      <c r="F450" s="28"/>
    </row>
    <row r="451">
      <c r="B451" s="28"/>
      <c r="C451" s="28"/>
      <c r="D451" s="28"/>
      <c r="E451" s="28"/>
      <c r="F451" s="28"/>
    </row>
    <row r="452">
      <c r="B452" s="28"/>
      <c r="C452" s="28"/>
      <c r="D452" s="28"/>
      <c r="E452" s="28"/>
      <c r="F452" s="28"/>
    </row>
    <row r="453">
      <c r="B453" s="28"/>
      <c r="C453" s="28"/>
      <c r="D453" s="28"/>
      <c r="E453" s="28"/>
      <c r="F453" s="28"/>
    </row>
    <row r="454">
      <c r="B454" s="28"/>
      <c r="C454" s="28"/>
      <c r="D454" s="28"/>
      <c r="E454" s="28"/>
      <c r="F454" s="28"/>
    </row>
    <row r="455">
      <c r="B455" s="28"/>
      <c r="C455" s="28"/>
      <c r="D455" s="28"/>
      <c r="E455" s="28"/>
      <c r="F455" s="28"/>
    </row>
    <row r="456">
      <c r="B456" s="28"/>
      <c r="C456" s="28"/>
      <c r="D456" s="28"/>
      <c r="E456" s="28"/>
      <c r="F456" s="28"/>
    </row>
    <row r="457">
      <c r="B457" s="28"/>
      <c r="C457" s="28"/>
      <c r="D457" s="28"/>
      <c r="E457" s="28"/>
      <c r="F457" s="28"/>
    </row>
    <row r="458">
      <c r="B458" s="28"/>
      <c r="C458" s="28"/>
      <c r="D458" s="28"/>
      <c r="E458" s="28"/>
      <c r="F458" s="28"/>
    </row>
    <row r="459">
      <c r="B459" s="28"/>
      <c r="C459" s="28"/>
      <c r="D459" s="28"/>
      <c r="E459" s="28"/>
      <c r="F459" s="28"/>
    </row>
    <row r="460">
      <c r="B460" s="28"/>
      <c r="C460" s="28"/>
      <c r="D460" s="28"/>
      <c r="E460" s="28"/>
      <c r="F460" s="28"/>
    </row>
    <row r="461">
      <c r="B461" s="28"/>
      <c r="C461" s="28"/>
      <c r="D461" s="28"/>
      <c r="E461" s="28"/>
      <c r="F461" s="28"/>
    </row>
    <row r="462">
      <c r="B462" s="28"/>
      <c r="C462" s="28"/>
      <c r="D462" s="28"/>
      <c r="E462" s="28"/>
      <c r="F462" s="28"/>
    </row>
    <row r="463">
      <c r="B463" s="28"/>
      <c r="C463" s="28"/>
      <c r="D463" s="28"/>
      <c r="E463" s="28"/>
      <c r="F463" s="28"/>
    </row>
    <row r="464">
      <c r="B464" s="28"/>
      <c r="C464" s="28"/>
      <c r="D464" s="28"/>
      <c r="E464" s="28"/>
      <c r="F464" s="28"/>
    </row>
    <row r="465">
      <c r="B465" s="28"/>
      <c r="C465" s="28"/>
      <c r="D465" s="28"/>
      <c r="E465" s="28"/>
      <c r="F465" s="28"/>
    </row>
    <row r="466">
      <c r="B466" s="28"/>
      <c r="C466" s="28"/>
      <c r="D466" s="28"/>
      <c r="E466" s="28"/>
      <c r="F466" s="28"/>
    </row>
    <row r="467">
      <c r="B467" s="28"/>
      <c r="C467" s="28"/>
      <c r="D467" s="28"/>
      <c r="E467" s="28"/>
      <c r="F467" s="28"/>
    </row>
    <row r="468">
      <c r="B468" s="28"/>
      <c r="C468" s="28"/>
      <c r="D468" s="28"/>
      <c r="E468" s="28"/>
      <c r="F468" s="28"/>
    </row>
    <row r="469">
      <c r="B469" s="28"/>
      <c r="C469" s="28"/>
      <c r="D469" s="28"/>
      <c r="E469" s="28"/>
      <c r="F469" s="28"/>
    </row>
    <row r="470">
      <c r="B470" s="28"/>
      <c r="C470" s="28"/>
      <c r="D470" s="28"/>
      <c r="E470" s="28"/>
      <c r="F470" s="28"/>
    </row>
    <row r="471">
      <c r="B471" s="28"/>
      <c r="C471" s="28"/>
      <c r="D471" s="28"/>
      <c r="E471" s="28"/>
      <c r="F471" s="28"/>
    </row>
    <row r="472">
      <c r="B472" s="28"/>
      <c r="C472" s="28"/>
      <c r="D472" s="28"/>
      <c r="E472" s="28"/>
      <c r="F472" s="28"/>
    </row>
    <row r="473">
      <c r="B473" s="28"/>
      <c r="C473" s="28"/>
      <c r="D473" s="28"/>
      <c r="E473" s="28"/>
      <c r="F473" s="28"/>
    </row>
    <row r="474">
      <c r="B474" s="28"/>
      <c r="C474" s="28"/>
      <c r="D474" s="28"/>
      <c r="E474" s="28"/>
      <c r="F474" s="28"/>
    </row>
    <row r="475">
      <c r="B475" s="28"/>
      <c r="C475" s="28"/>
      <c r="D475" s="28"/>
      <c r="E475" s="28"/>
      <c r="F475" s="28"/>
    </row>
    <row r="476">
      <c r="B476" s="28"/>
      <c r="C476" s="28"/>
      <c r="D476" s="28"/>
      <c r="E476" s="28"/>
      <c r="F476" s="28"/>
    </row>
    <row r="477">
      <c r="B477" s="28"/>
      <c r="C477" s="28"/>
      <c r="D477" s="28"/>
      <c r="E477" s="28"/>
      <c r="F477" s="28"/>
    </row>
    <row r="478">
      <c r="B478" s="28"/>
      <c r="C478" s="28"/>
      <c r="D478" s="28"/>
      <c r="E478" s="28"/>
      <c r="F478" s="28"/>
    </row>
    <row r="479">
      <c r="B479" s="28"/>
      <c r="C479" s="28"/>
      <c r="D479" s="28"/>
      <c r="E479" s="28"/>
      <c r="F479" s="28"/>
    </row>
    <row r="480">
      <c r="B480" s="28"/>
      <c r="C480" s="28"/>
      <c r="D480" s="28"/>
      <c r="E480" s="28"/>
      <c r="F480" s="28"/>
    </row>
    <row r="481">
      <c r="B481" s="28"/>
      <c r="C481" s="28"/>
      <c r="D481" s="28"/>
      <c r="E481" s="28"/>
      <c r="F481" s="28"/>
    </row>
    <row r="482">
      <c r="B482" s="28"/>
      <c r="C482" s="28"/>
      <c r="D482" s="28"/>
      <c r="E482" s="28"/>
      <c r="F482" s="28"/>
    </row>
    <row r="483">
      <c r="B483" s="28"/>
      <c r="C483" s="28"/>
      <c r="D483" s="28"/>
      <c r="E483" s="28"/>
      <c r="F483" s="28"/>
    </row>
    <row r="484">
      <c r="B484" s="28"/>
      <c r="C484" s="28"/>
      <c r="D484" s="28"/>
      <c r="E484" s="28"/>
      <c r="F484" s="28"/>
    </row>
    <row r="485">
      <c r="B485" s="28"/>
      <c r="C485" s="28"/>
      <c r="D485" s="28"/>
      <c r="E485" s="28"/>
      <c r="F485" s="28"/>
    </row>
    <row r="486">
      <c r="B486" s="28"/>
      <c r="C486" s="28"/>
      <c r="D486" s="28"/>
      <c r="E486" s="28"/>
      <c r="F486" s="28"/>
    </row>
    <row r="487">
      <c r="B487" s="28"/>
      <c r="C487" s="28"/>
      <c r="D487" s="28"/>
      <c r="E487" s="28"/>
      <c r="F487" s="28"/>
    </row>
    <row r="488">
      <c r="B488" s="28"/>
      <c r="C488" s="28"/>
      <c r="D488" s="28"/>
      <c r="E488" s="28"/>
      <c r="F488" s="28"/>
    </row>
    <row r="489">
      <c r="B489" s="28"/>
      <c r="C489" s="28"/>
      <c r="D489" s="28"/>
      <c r="E489" s="28"/>
      <c r="F489" s="28"/>
    </row>
    <row r="490">
      <c r="B490" s="28"/>
      <c r="C490" s="28"/>
      <c r="D490" s="28"/>
      <c r="E490" s="28"/>
      <c r="F490" s="28"/>
    </row>
    <row r="491">
      <c r="B491" s="28"/>
      <c r="C491" s="28"/>
      <c r="D491" s="28"/>
      <c r="E491" s="28"/>
      <c r="F491" s="28"/>
    </row>
    <row r="492">
      <c r="B492" s="28"/>
      <c r="C492" s="28"/>
      <c r="D492" s="28"/>
      <c r="E492" s="28"/>
      <c r="F492" s="28"/>
    </row>
    <row r="493">
      <c r="B493" s="28"/>
      <c r="C493" s="28"/>
      <c r="D493" s="28"/>
      <c r="E493" s="28"/>
      <c r="F493" s="28"/>
    </row>
    <row r="494">
      <c r="B494" s="28"/>
      <c r="C494" s="28"/>
      <c r="D494" s="28"/>
      <c r="E494" s="28"/>
      <c r="F494" s="28"/>
    </row>
    <row r="495">
      <c r="B495" s="28"/>
      <c r="C495" s="28"/>
      <c r="D495" s="28"/>
      <c r="E495" s="28"/>
      <c r="F495" s="28"/>
    </row>
    <row r="496">
      <c r="B496" s="28"/>
      <c r="C496" s="28"/>
      <c r="D496" s="28"/>
      <c r="E496" s="28"/>
      <c r="F496" s="28"/>
    </row>
    <row r="497">
      <c r="B497" s="28"/>
      <c r="C497" s="28"/>
      <c r="D497" s="28"/>
      <c r="E497" s="28"/>
      <c r="F497" s="28"/>
    </row>
    <row r="498">
      <c r="B498" s="28"/>
      <c r="C498" s="28"/>
      <c r="D498" s="28"/>
      <c r="E498" s="28"/>
      <c r="F498" s="28"/>
    </row>
    <row r="499">
      <c r="B499" s="28"/>
      <c r="C499" s="28"/>
      <c r="D499" s="28"/>
      <c r="E499" s="28"/>
      <c r="F499" s="28"/>
    </row>
    <row r="500">
      <c r="B500" s="28"/>
      <c r="C500" s="28"/>
      <c r="D500" s="28"/>
      <c r="E500" s="28"/>
      <c r="F500" s="28"/>
    </row>
    <row r="501">
      <c r="B501" s="28"/>
      <c r="C501" s="28"/>
      <c r="D501" s="28"/>
      <c r="E501" s="28"/>
      <c r="F501" s="28"/>
    </row>
    <row r="502">
      <c r="B502" s="28"/>
      <c r="C502" s="28"/>
      <c r="D502" s="28"/>
      <c r="E502" s="28"/>
      <c r="F502" s="28"/>
    </row>
    <row r="503">
      <c r="B503" s="28"/>
      <c r="C503" s="28"/>
      <c r="D503" s="28"/>
      <c r="E503" s="28"/>
      <c r="F503" s="28"/>
    </row>
    <row r="504">
      <c r="B504" s="28"/>
      <c r="C504" s="28"/>
      <c r="D504" s="28"/>
      <c r="E504" s="28"/>
      <c r="F504" s="28"/>
    </row>
    <row r="505">
      <c r="B505" s="28"/>
      <c r="C505" s="28"/>
      <c r="D505" s="28"/>
      <c r="E505" s="28"/>
      <c r="F505" s="28"/>
    </row>
    <row r="506">
      <c r="B506" s="28"/>
      <c r="C506" s="28"/>
      <c r="D506" s="28"/>
      <c r="E506" s="28"/>
      <c r="F506" s="28"/>
    </row>
    <row r="507">
      <c r="B507" s="28"/>
      <c r="C507" s="28"/>
      <c r="D507" s="28"/>
      <c r="E507" s="28"/>
      <c r="F507" s="28"/>
    </row>
    <row r="508">
      <c r="B508" s="28"/>
      <c r="C508" s="28"/>
      <c r="D508" s="28"/>
      <c r="E508" s="28"/>
      <c r="F508" s="28"/>
    </row>
    <row r="509">
      <c r="B509" s="28"/>
      <c r="C509" s="28"/>
      <c r="D509" s="28"/>
      <c r="E509" s="28"/>
      <c r="F509" s="28"/>
    </row>
    <row r="510">
      <c r="B510" s="28"/>
      <c r="C510" s="28"/>
      <c r="D510" s="28"/>
      <c r="E510" s="28"/>
      <c r="F510" s="28"/>
    </row>
    <row r="511">
      <c r="B511" s="28"/>
      <c r="C511" s="28"/>
      <c r="D511" s="28"/>
      <c r="E511" s="28"/>
      <c r="F511" s="28"/>
    </row>
    <row r="512">
      <c r="B512" s="28"/>
      <c r="C512" s="28"/>
      <c r="D512" s="28"/>
      <c r="E512" s="28"/>
      <c r="F512" s="28"/>
    </row>
    <row r="513">
      <c r="B513" s="28"/>
      <c r="C513" s="28"/>
      <c r="D513" s="28"/>
      <c r="E513" s="28"/>
      <c r="F513" s="28"/>
    </row>
    <row r="514">
      <c r="B514" s="28"/>
      <c r="C514" s="28"/>
      <c r="D514" s="28"/>
      <c r="E514" s="28"/>
      <c r="F514" s="28"/>
    </row>
    <row r="515">
      <c r="B515" s="28"/>
      <c r="C515" s="28"/>
      <c r="D515" s="28"/>
      <c r="E515" s="28"/>
      <c r="F515" s="28"/>
    </row>
    <row r="516">
      <c r="B516" s="28"/>
      <c r="C516" s="28"/>
      <c r="D516" s="28"/>
      <c r="E516" s="28"/>
      <c r="F516" s="28"/>
    </row>
    <row r="517">
      <c r="B517" s="28"/>
      <c r="C517" s="28"/>
      <c r="D517" s="28"/>
      <c r="E517" s="28"/>
      <c r="F517" s="28"/>
    </row>
    <row r="518">
      <c r="B518" s="28"/>
      <c r="C518" s="28"/>
      <c r="D518" s="28"/>
      <c r="E518" s="28"/>
      <c r="F518" s="28"/>
    </row>
    <row r="519">
      <c r="B519" s="28"/>
      <c r="C519" s="28"/>
      <c r="D519" s="28"/>
      <c r="E519" s="28"/>
      <c r="F519" s="28"/>
    </row>
    <row r="520">
      <c r="B520" s="28"/>
      <c r="C520" s="28"/>
      <c r="D520" s="28"/>
      <c r="E520" s="28"/>
      <c r="F520" s="28"/>
    </row>
    <row r="521">
      <c r="B521" s="28"/>
      <c r="C521" s="28"/>
      <c r="D521" s="28"/>
      <c r="E521" s="28"/>
      <c r="F521" s="28"/>
    </row>
    <row r="522">
      <c r="B522" s="28"/>
      <c r="C522" s="28"/>
      <c r="D522" s="28"/>
      <c r="E522" s="28"/>
      <c r="F522" s="28"/>
    </row>
    <row r="523">
      <c r="B523" s="28"/>
      <c r="C523" s="28"/>
      <c r="D523" s="28"/>
      <c r="E523" s="28"/>
      <c r="F523" s="28"/>
    </row>
    <row r="524">
      <c r="B524" s="28"/>
      <c r="C524" s="28"/>
      <c r="D524" s="28"/>
      <c r="E524" s="28"/>
      <c r="F524" s="28"/>
    </row>
    <row r="525">
      <c r="B525" s="28"/>
      <c r="C525" s="28"/>
      <c r="D525" s="28"/>
      <c r="E525" s="28"/>
      <c r="F525" s="28"/>
    </row>
    <row r="526">
      <c r="B526" s="28"/>
      <c r="C526" s="28"/>
      <c r="D526" s="28"/>
      <c r="E526" s="28"/>
      <c r="F526" s="28"/>
    </row>
    <row r="527">
      <c r="B527" s="28"/>
      <c r="C527" s="28"/>
      <c r="D527" s="28"/>
      <c r="E527" s="28"/>
      <c r="F527" s="28"/>
    </row>
    <row r="528">
      <c r="B528" s="28"/>
      <c r="C528" s="28"/>
      <c r="D528" s="28"/>
      <c r="E528" s="28"/>
      <c r="F528" s="28"/>
    </row>
    <row r="529">
      <c r="B529" s="28"/>
      <c r="C529" s="28"/>
      <c r="D529" s="28"/>
      <c r="E529" s="28"/>
      <c r="F529" s="28"/>
    </row>
    <row r="530">
      <c r="B530" s="28"/>
      <c r="C530" s="28"/>
      <c r="D530" s="28"/>
      <c r="E530" s="28"/>
      <c r="F530" s="28"/>
    </row>
    <row r="531">
      <c r="B531" s="28"/>
      <c r="C531" s="28"/>
      <c r="D531" s="28"/>
      <c r="E531" s="28"/>
      <c r="F531" s="28"/>
    </row>
    <row r="532">
      <c r="B532" s="28"/>
      <c r="C532" s="28"/>
      <c r="D532" s="28"/>
      <c r="E532" s="28"/>
      <c r="F532" s="28"/>
    </row>
    <row r="533">
      <c r="B533" s="28"/>
      <c r="C533" s="28"/>
      <c r="D533" s="28"/>
      <c r="E533" s="28"/>
      <c r="F533" s="28"/>
    </row>
    <row r="534">
      <c r="B534" s="28"/>
      <c r="C534" s="28"/>
      <c r="D534" s="28"/>
      <c r="E534" s="28"/>
      <c r="F534" s="28"/>
    </row>
    <row r="535">
      <c r="B535" s="28"/>
      <c r="C535" s="28"/>
      <c r="D535" s="28"/>
      <c r="E535" s="28"/>
      <c r="F535" s="28"/>
    </row>
    <row r="536">
      <c r="B536" s="28"/>
      <c r="C536" s="28"/>
      <c r="D536" s="28"/>
      <c r="E536" s="28"/>
      <c r="F536" s="28"/>
    </row>
    <row r="537">
      <c r="B537" s="28"/>
      <c r="C537" s="28"/>
      <c r="D537" s="28"/>
      <c r="E537" s="28"/>
      <c r="F537" s="28"/>
    </row>
    <row r="538">
      <c r="B538" s="28"/>
      <c r="C538" s="28"/>
      <c r="D538" s="28"/>
      <c r="E538" s="28"/>
      <c r="F538" s="28"/>
    </row>
    <row r="539">
      <c r="B539" s="28"/>
      <c r="C539" s="28"/>
      <c r="D539" s="28"/>
      <c r="E539" s="28"/>
      <c r="F539" s="28"/>
    </row>
    <row r="540">
      <c r="B540" s="28"/>
      <c r="C540" s="28"/>
      <c r="D540" s="28"/>
      <c r="E540" s="28"/>
      <c r="F540" s="28"/>
    </row>
    <row r="541">
      <c r="B541" s="28"/>
      <c r="C541" s="28"/>
      <c r="D541" s="28"/>
      <c r="E541" s="28"/>
      <c r="F541" s="28"/>
    </row>
    <row r="542">
      <c r="B542" s="28"/>
      <c r="C542" s="28"/>
      <c r="D542" s="28"/>
      <c r="E542" s="28"/>
      <c r="F542" s="28"/>
    </row>
    <row r="543">
      <c r="B543" s="28"/>
      <c r="C543" s="28"/>
      <c r="D543" s="28"/>
      <c r="E543" s="28"/>
      <c r="F543" s="28"/>
    </row>
    <row r="544">
      <c r="B544" s="28"/>
      <c r="C544" s="28"/>
      <c r="D544" s="28"/>
      <c r="E544" s="28"/>
      <c r="F544" s="28"/>
    </row>
    <row r="545">
      <c r="B545" s="28"/>
      <c r="C545" s="28"/>
      <c r="D545" s="28"/>
      <c r="E545" s="28"/>
      <c r="F545" s="28"/>
    </row>
    <row r="546">
      <c r="B546" s="28"/>
      <c r="C546" s="28"/>
      <c r="D546" s="28"/>
      <c r="E546" s="28"/>
      <c r="F546" s="28"/>
    </row>
    <row r="547">
      <c r="B547" s="28"/>
      <c r="C547" s="28"/>
      <c r="D547" s="28"/>
      <c r="E547" s="28"/>
      <c r="F547" s="28"/>
    </row>
    <row r="548">
      <c r="B548" s="28"/>
      <c r="C548" s="28"/>
      <c r="D548" s="28"/>
      <c r="E548" s="28"/>
      <c r="F548" s="28"/>
    </row>
    <row r="549">
      <c r="B549" s="28"/>
      <c r="C549" s="28"/>
      <c r="D549" s="28"/>
      <c r="E549" s="28"/>
      <c r="F549" s="28"/>
    </row>
    <row r="550">
      <c r="B550" s="28"/>
      <c r="C550" s="28"/>
      <c r="D550" s="28"/>
      <c r="E550" s="28"/>
      <c r="F550" s="28"/>
    </row>
    <row r="551">
      <c r="B551" s="28"/>
      <c r="C551" s="28"/>
      <c r="D551" s="28"/>
      <c r="E551" s="28"/>
      <c r="F551" s="28"/>
    </row>
    <row r="552">
      <c r="B552" s="28"/>
      <c r="C552" s="28"/>
      <c r="D552" s="28"/>
      <c r="E552" s="28"/>
      <c r="F552" s="28"/>
    </row>
    <row r="553">
      <c r="B553" s="28"/>
      <c r="C553" s="28"/>
      <c r="D553" s="28"/>
      <c r="E553" s="28"/>
      <c r="F553" s="28"/>
    </row>
    <row r="554">
      <c r="B554" s="28"/>
      <c r="C554" s="28"/>
      <c r="D554" s="28"/>
      <c r="E554" s="28"/>
      <c r="F554" s="28"/>
    </row>
    <row r="555">
      <c r="B555" s="28"/>
      <c r="C555" s="28"/>
      <c r="D555" s="28"/>
      <c r="E555" s="28"/>
      <c r="F555" s="28"/>
    </row>
    <row r="556">
      <c r="B556" s="28"/>
      <c r="C556" s="28"/>
      <c r="D556" s="28"/>
      <c r="E556" s="28"/>
      <c r="F556" s="28"/>
    </row>
    <row r="557">
      <c r="B557" s="28"/>
      <c r="C557" s="28"/>
      <c r="D557" s="28"/>
      <c r="E557" s="28"/>
      <c r="F557" s="28"/>
    </row>
    <row r="558">
      <c r="B558" s="28"/>
      <c r="C558" s="28"/>
      <c r="D558" s="28"/>
      <c r="E558" s="28"/>
      <c r="F558" s="28"/>
    </row>
    <row r="559">
      <c r="B559" s="28"/>
      <c r="C559" s="28"/>
      <c r="D559" s="28"/>
      <c r="E559" s="28"/>
      <c r="F559" s="28"/>
    </row>
    <row r="560">
      <c r="B560" s="28"/>
      <c r="C560" s="28"/>
      <c r="D560" s="28"/>
      <c r="E560" s="28"/>
      <c r="F560" s="28"/>
    </row>
    <row r="561">
      <c r="B561" s="28"/>
      <c r="C561" s="28"/>
      <c r="D561" s="28"/>
      <c r="E561" s="28"/>
      <c r="F561" s="28"/>
    </row>
    <row r="562">
      <c r="B562" s="28"/>
      <c r="C562" s="28"/>
      <c r="D562" s="28"/>
      <c r="E562" s="28"/>
      <c r="F562" s="28"/>
    </row>
    <row r="563">
      <c r="B563" s="28"/>
      <c r="C563" s="28"/>
      <c r="D563" s="28"/>
      <c r="E563" s="28"/>
      <c r="F563" s="28"/>
    </row>
    <row r="564">
      <c r="B564" s="28"/>
      <c r="C564" s="28"/>
      <c r="D564" s="28"/>
      <c r="E564" s="28"/>
      <c r="F564" s="28"/>
    </row>
    <row r="565">
      <c r="B565" s="28"/>
      <c r="C565" s="28"/>
      <c r="D565" s="28"/>
      <c r="E565" s="28"/>
      <c r="F565" s="28"/>
    </row>
    <row r="566">
      <c r="B566" s="28"/>
      <c r="C566" s="28"/>
      <c r="D566" s="28"/>
      <c r="E566" s="28"/>
      <c r="F566" s="28"/>
    </row>
    <row r="567">
      <c r="B567" s="28"/>
      <c r="C567" s="28"/>
      <c r="D567" s="28"/>
      <c r="E567" s="28"/>
      <c r="F567" s="28"/>
    </row>
    <row r="568">
      <c r="B568" s="28"/>
      <c r="C568" s="28"/>
      <c r="D568" s="28"/>
      <c r="E568" s="28"/>
      <c r="F568" s="28"/>
    </row>
    <row r="569">
      <c r="B569" s="28"/>
      <c r="C569" s="28"/>
      <c r="D569" s="28"/>
      <c r="E569" s="28"/>
      <c r="F569" s="28"/>
    </row>
    <row r="570">
      <c r="B570" s="28"/>
      <c r="C570" s="28"/>
      <c r="D570" s="28"/>
      <c r="E570" s="28"/>
      <c r="F570" s="28"/>
    </row>
    <row r="571">
      <c r="B571" s="28"/>
      <c r="C571" s="28"/>
      <c r="D571" s="28"/>
      <c r="E571" s="28"/>
      <c r="F571" s="28"/>
    </row>
    <row r="572">
      <c r="B572" s="28"/>
      <c r="C572" s="28"/>
      <c r="D572" s="28"/>
      <c r="E572" s="28"/>
      <c r="F572" s="28"/>
    </row>
    <row r="573">
      <c r="B573" s="28"/>
      <c r="C573" s="28"/>
      <c r="D573" s="28"/>
      <c r="E573" s="28"/>
      <c r="F573" s="28"/>
    </row>
    <row r="574">
      <c r="B574" s="28"/>
      <c r="C574" s="28"/>
      <c r="D574" s="28"/>
      <c r="E574" s="28"/>
      <c r="F574" s="28"/>
    </row>
    <row r="575">
      <c r="B575" s="28"/>
      <c r="C575" s="28"/>
      <c r="D575" s="28"/>
      <c r="E575" s="28"/>
      <c r="F575" s="28"/>
    </row>
    <row r="576">
      <c r="B576" s="28"/>
      <c r="C576" s="28"/>
      <c r="D576" s="28"/>
      <c r="E576" s="28"/>
      <c r="F576" s="28"/>
    </row>
    <row r="577">
      <c r="B577" s="28"/>
      <c r="C577" s="28"/>
      <c r="D577" s="28"/>
      <c r="E577" s="28"/>
      <c r="F577" s="28"/>
    </row>
    <row r="578">
      <c r="B578" s="28"/>
      <c r="C578" s="28"/>
      <c r="D578" s="28"/>
      <c r="E578" s="28"/>
      <c r="F578" s="28"/>
    </row>
    <row r="579">
      <c r="B579" s="28"/>
      <c r="C579" s="28"/>
      <c r="D579" s="28"/>
      <c r="E579" s="28"/>
      <c r="F579" s="28"/>
    </row>
    <row r="580">
      <c r="B580" s="28"/>
      <c r="C580" s="28"/>
      <c r="D580" s="28"/>
      <c r="E580" s="28"/>
      <c r="F580" s="28"/>
    </row>
    <row r="581">
      <c r="B581" s="28"/>
      <c r="C581" s="28"/>
      <c r="D581" s="28"/>
      <c r="E581" s="28"/>
      <c r="F581" s="28"/>
    </row>
    <row r="582">
      <c r="B582" s="28"/>
      <c r="C582" s="28"/>
      <c r="D582" s="28"/>
      <c r="E582" s="28"/>
      <c r="F582" s="28"/>
    </row>
    <row r="583">
      <c r="B583" s="28"/>
      <c r="C583" s="28"/>
      <c r="D583" s="28"/>
      <c r="E583" s="28"/>
      <c r="F583" s="28"/>
    </row>
    <row r="584">
      <c r="B584" s="28"/>
      <c r="C584" s="28"/>
      <c r="D584" s="28"/>
      <c r="E584" s="28"/>
      <c r="F584" s="28"/>
    </row>
    <row r="585">
      <c r="B585" s="28"/>
      <c r="C585" s="28"/>
      <c r="D585" s="28"/>
      <c r="E585" s="28"/>
      <c r="F585" s="28"/>
    </row>
    <row r="586">
      <c r="B586" s="28"/>
      <c r="C586" s="28"/>
      <c r="D586" s="28"/>
      <c r="E586" s="28"/>
      <c r="F586" s="28"/>
    </row>
    <row r="587">
      <c r="B587" s="28"/>
      <c r="C587" s="28"/>
      <c r="D587" s="28"/>
      <c r="E587" s="28"/>
      <c r="F587" s="28"/>
    </row>
    <row r="588">
      <c r="B588" s="28"/>
      <c r="C588" s="28"/>
      <c r="D588" s="28"/>
      <c r="E588" s="28"/>
      <c r="F588" s="28"/>
    </row>
    <row r="589">
      <c r="B589" s="28"/>
      <c r="C589" s="28"/>
      <c r="D589" s="28"/>
      <c r="E589" s="28"/>
      <c r="F589" s="28"/>
    </row>
    <row r="590">
      <c r="B590" s="28"/>
      <c r="C590" s="28"/>
      <c r="D590" s="28"/>
      <c r="E590" s="28"/>
      <c r="F590" s="28"/>
    </row>
    <row r="591">
      <c r="B591" s="28"/>
      <c r="C591" s="28"/>
      <c r="D591" s="28"/>
      <c r="E591" s="28"/>
      <c r="F591" s="28"/>
    </row>
    <row r="592">
      <c r="B592" s="28"/>
      <c r="C592" s="28"/>
      <c r="D592" s="28"/>
      <c r="E592" s="28"/>
      <c r="F592" s="28"/>
    </row>
    <row r="593">
      <c r="B593" s="28"/>
      <c r="C593" s="28"/>
      <c r="D593" s="28"/>
      <c r="E593" s="28"/>
      <c r="F593" s="28"/>
    </row>
    <row r="594">
      <c r="B594" s="28"/>
      <c r="C594" s="28"/>
      <c r="D594" s="28"/>
      <c r="E594" s="28"/>
      <c r="F594" s="28"/>
    </row>
    <row r="595">
      <c r="B595" s="28"/>
      <c r="C595" s="28"/>
      <c r="D595" s="28"/>
      <c r="E595" s="28"/>
      <c r="F595" s="28"/>
    </row>
    <row r="596">
      <c r="B596" s="28"/>
      <c r="C596" s="28"/>
      <c r="D596" s="28"/>
      <c r="E596" s="28"/>
      <c r="F596" s="28"/>
    </row>
    <row r="597">
      <c r="B597" s="28"/>
      <c r="C597" s="28"/>
      <c r="D597" s="28"/>
      <c r="E597" s="28"/>
      <c r="F597" s="28"/>
    </row>
    <row r="598">
      <c r="B598" s="28"/>
      <c r="C598" s="28"/>
      <c r="D598" s="28"/>
      <c r="E598" s="28"/>
      <c r="F598" s="28"/>
    </row>
    <row r="599">
      <c r="B599" s="28"/>
      <c r="C599" s="28"/>
      <c r="D599" s="28"/>
      <c r="E599" s="28"/>
      <c r="F599" s="28"/>
    </row>
    <row r="600">
      <c r="B600" s="28"/>
      <c r="C600" s="28"/>
      <c r="D600" s="28"/>
      <c r="E600" s="28"/>
      <c r="F600" s="28"/>
    </row>
    <row r="601">
      <c r="B601" s="28"/>
      <c r="C601" s="28"/>
      <c r="D601" s="28"/>
      <c r="E601" s="28"/>
      <c r="F601" s="28"/>
    </row>
    <row r="602">
      <c r="B602" s="28"/>
      <c r="C602" s="28"/>
      <c r="D602" s="28"/>
      <c r="E602" s="28"/>
      <c r="F602" s="28"/>
    </row>
    <row r="603">
      <c r="B603" s="28"/>
      <c r="C603" s="28"/>
      <c r="D603" s="28"/>
      <c r="E603" s="28"/>
      <c r="F603" s="28"/>
    </row>
    <row r="604">
      <c r="B604" s="28"/>
      <c r="C604" s="28"/>
      <c r="D604" s="28"/>
      <c r="E604" s="28"/>
      <c r="F604" s="28"/>
    </row>
    <row r="605">
      <c r="B605" s="28"/>
      <c r="C605" s="28"/>
      <c r="D605" s="28"/>
      <c r="E605" s="28"/>
      <c r="F605" s="28"/>
    </row>
    <row r="606">
      <c r="B606" s="28"/>
      <c r="C606" s="28"/>
      <c r="D606" s="28"/>
      <c r="E606" s="28"/>
      <c r="F606" s="28"/>
    </row>
    <row r="607">
      <c r="B607" s="28"/>
      <c r="C607" s="28"/>
      <c r="D607" s="28"/>
      <c r="E607" s="28"/>
      <c r="F607" s="28"/>
    </row>
    <row r="608">
      <c r="B608" s="28"/>
      <c r="C608" s="28"/>
      <c r="D608" s="28"/>
      <c r="E608" s="28"/>
      <c r="F608" s="28"/>
    </row>
    <row r="609">
      <c r="B609" s="28"/>
      <c r="C609" s="28"/>
      <c r="D609" s="28"/>
      <c r="E609" s="28"/>
      <c r="F609" s="28"/>
    </row>
    <row r="610">
      <c r="B610" s="28"/>
      <c r="C610" s="28"/>
      <c r="D610" s="28"/>
      <c r="E610" s="28"/>
      <c r="F610" s="28"/>
    </row>
    <row r="611">
      <c r="B611" s="28"/>
      <c r="C611" s="28"/>
      <c r="D611" s="28"/>
      <c r="E611" s="28"/>
      <c r="F611" s="28"/>
    </row>
    <row r="612">
      <c r="B612" s="28"/>
      <c r="C612" s="28"/>
      <c r="D612" s="28"/>
      <c r="E612" s="28"/>
      <c r="F612" s="28"/>
    </row>
    <row r="613">
      <c r="B613" s="28"/>
      <c r="C613" s="28"/>
      <c r="D613" s="28"/>
      <c r="E613" s="28"/>
      <c r="F613" s="28"/>
    </row>
    <row r="614">
      <c r="B614" s="28"/>
      <c r="C614" s="28"/>
      <c r="D614" s="28"/>
      <c r="E614" s="28"/>
      <c r="F614" s="28"/>
    </row>
    <row r="615">
      <c r="B615" s="28"/>
      <c r="C615" s="28"/>
      <c r="D615" s="28"/>
      <c r="E615" s="28"/>
      <c r="F615" s="28"/>
    </row>
    <row r="616">
      <c r="B616" s="28"/>
      <c r="C616" s="28"/>
      <c r="D616" s="28"/>
      <c r="E616" s="28"/>
      <c r="F616" s="28"/>
    </row>
    <row r="617">
      <c r="B617" s="28"/>
      <c r="C617" s="28"/>
      <c r="D617" s="28"/>
      <c r="E617" s="28"/>
      <c r="F617" s="28"/>
    </row>
    <row r="618">
      <c r="B618" s="28"/>
      <c r="C618" s="28"/>
      <c r="D618" s="28"/>
      <c r="E618" s="28"/>
      <c r="F618" s="28"/>
    </row>
    <row r="619">
      <c r="B619" s="28"/>
      <c r="C619" s="28"/>
      <c r="D619" s="28"/>
      <c r="E619" s="28"/>
      <c r="F619" s="28"/>
    </row>
    <row r="620">
      <c r="B620" s="28"/>
      <c r="C620" s="28"/>
      <c r="D620" s="28"/>
      <c r="E620" s="28"/>
      <c r="F620" s="28"/>
    </row>
    <row r="621">
      <c r="B621" s="28"/>
      <c r="C621" s="28"/>
      <c r="D621" s="28"/>
      <c r="E621" s="28"/>
      <c r="F621" s="28"/>
    </row>
    <row r="622">
      <c r="B622" s="28"/>
      <c r="C622" s="28"/>
      <c r="D622" s="28"/>
      <c r="E622" s="28"/>
      <c r="F622" s="28"/>
    </row>
    <row r="623">
      <c r="B623" s="28"/>
      <c r="C623" s="28"/>
      <c r="D623" s="28"/>
      <c r="E623" s="28"/>
      <c r="F623" s="28"/>
    </row>
    <row r="624">
      <c r="B624" s="28"/>
      <c r="C624" s="28"/>
      <c r="D624" s="28"/>
      <c r="E624" s="28"/>
      <c r="F624" s="28"/>
    </row>
    <row r="625">
      <c r="B625" s="28"/>
      <c r="C625" s="28"/>
      <c r="D625" s="28"/>
      <c r="E625" s="28"/>
      <c r="F625" s="28"/>
    </row>
    <row r="626">
      <c r="B626" s="28"/>
      <c r="C626" s="28"/>
      <c r="D626" s="28"/>
      <c r="E626" s="28"/>
      <c r="F626" s="28"/>
    </row>
    <row r="627">
      <c r="B627" s="28"/>
      <c r="C627" s="28"/>
      <c r="D627" s="28"/>
      <c r="E627" s="28"/>
      <c r="F627" s="28"/>
    </row>
    <row r="628">
      <c r="B628" s="28"/>
      <c r="C628" s="28"/>
      <c r="D628" s="28"/>
      <c r="E628" s="28"/>
      <c r="F628" s="28"/>
    </row>
    <row r="629">
      <c r="B629" s="28"/>
      <c r="C629" s="28"/>
      <c r="D629" s="28"/>
      <c r="E629" s="28"/>
      <c r="F629" s="28"/>
    </row>
    <row r="630">
      <c r="B630" s="28"/>
      <c r="C630" s="28"/>
      <c r="D630" s="28"/>
      <c r="E630" s="28"/>
      <c r="F630" s="28"/>
    </row>
    <row r="631">
      <c r="B631" s="28"/>
      <c r="C631" s="28"/>
      <c r="D631" s="28"/>
      <c r="E631" s="28"/>
      <c r="F631" s="28"/>
    </row>
    <row r="632">
      <c r="B632" s="28"/>
      <c r="C632" s="28"/>
      <c r="D632" s="28"/>
      <c r="E632" s="28"/>
      <c r="F632" s="28"/>
    </row>
    <row r="633">
      <c r="B633" s="28"/>
      <c r="C633" s="28"/>
      <c r="D633" s="28"/>
      <c r="E633" s="28"/>
      <c r="F633" s="28"/>
    </row>
    <row r="634">
      <c r="B634" s="28"/>
      <c r="C634" s="28"/>
      <c r="D634" s="28"/>
      <c r="E634" s="28"/>
      <c r="F634" s="28"/>
    </row>
    <row r="635">
      <c r="B635" s="28"/>
      <c r="C635" s="28"/>
      <c r="D635" s="28"/>
      <c r="E635" s="28"/>
      <c r="F635" s="28"/>
    </row>
    <row r="636">
      <c r="B636" s="28"/>
      <c r="C636" s="28"/>
      <c r="D636" s="28"/>
      <c r="E636" s="28"/>
      <c r="F636" s="28"/>
    </row>
    <row r="637">
      <c r="B637" s="28"/>
      <c r="C637" s="28"/>
      <c r="D637" s="28"/>
      <c r="E637" s="28"/>
      <c r="F637" s="28"/>
    </row>
    <row r="638">
      <c r="B638" s="28"/>
      <c r="C638" s="28"/>
      <c r="D638" s="28"/>
      <c r="E638" s="28"/>
      <c r="F638" s="28"/>
    </row>
    <row r="639">
      <c r="B639" s="28"/>
      <c r="C639" s="28"/>
      <c r="D639" s="28"/>
      <c r="E639" s="28"/>
      <c r="F639" s="28"/>
    </row>
    <row r="640">
      <c r="B640" s="28"/>
      <c r="C640" s="28"/>
      <c r="D640" s="28"/>
      <c r="E640" s="28"/>
      <c r="F640" s="28"/>
    </row>
    <row r="641">
      <c r="B641" s="28"/>
      <c r="C641" s="28"/>
      <c r="D641" s="28"/>
      <c r="E641" s="28"/>
      <c r="F641" s="28"/>
    </row>
    <row r="642">
      <c r="B642" s="28"/>
      <c r="C642" s="28"/>
      <c r="D642" s="28"/>
      <c r="E642" s="28"/>
      <c r="F642" s="28"/>
    </row>
    <row r="643">
      <c r="B643" s="28"/>
      <c r="C643" s="28"/>
      <c r="D643" s="28"/>
      <c r="E643" s="28"/>
      <c r="F643" s="28"/>
    </row>
    <row r="644">
      <c r="B644" s="28"/>
      <c r="C644" s="28"/>
      <c r="D644" s="28"/>
      <c r="E644" s="28"/>
      <c r="F644" s="28"/>
    </row>
    <row r="645">
      <c r="B645" s="28"/>
      <c r="C645" s="28"/>
      <c r="D645" s="28"/>
      <c r="E645" s="28"/>
      <c r="F645" s="28"/>
    </row>
    <row r="646">
      <c r="B646" s="28"/>
      <c r="C646" s="28"/>
      <c r="D646" s="28"/>
      <c r="E646" s="28"/>
      <c r="F646" s="28"/>
    </row>
    <row r="647">
      <c r="B647" s="28"/>
      <c r="C647" s="28"/>
      <c r="D647" s="28"/>
      <c r="E647" s="28"/>
      <c r="F647" s="28"/>
    </row>
    <row r="648">
      <c r="B648" s="28"/>
      <c r="C648" s="28"/>
      <c r="D648" s="28"/>
      <c r="E648" s="28"/>
      <c r="F648" s="28"/>
    </row>
    <row r="649">
      <c r="B649" s="28"/>
      <c r="C649" s="28"/>
      <c r="D649" s="28"/>
      <c r="E649" s="28"/>
      <c r="F649" s="28"/>
    </row>
    <row r="650">
      <c r="B650" s="28"/>
      <c r="C650" s="28"/>
      <c r="D650" s="28"/>
      <c r="E650" s="28"/>
      <c r="F650" s="28"/>
    </row>
    <row r="651">
      <c r="B651" s="28"/>
      <c r="C651" s="28"/>
      <c r="D651" s="28"/>
      <c r="E651" s="28"/>
      <c r="F651" s="28"/>
    </row>
    <row r="652">
      <c r="B652" s="28"/>
      <c r="C652" s="28"/>
      <c r="D652" s="28"/>
      <c r="E652" s="28"/>
      <c r="F652" s="28"/>
    </row>
    <row r="653">
      <c r="B653" s="28"/>
      <c r="C653" s="28"/>
      <c r="D653" s="28"/>
      <c r="E653" s="28"/>
      <c r="F653" s="28"/>
    </row>
    <row r="654">
      <c r="B654" s="28"/>
      <c r="C654" s="28"/>
      <c r="D654" s="28"/>
      <c r="E654" s="28"/>
      <c r="F654" s="28"/>
    </row>
    <row r="655">
      <c r="B655" s="28"/>
      <c r="C655" s="28"/>
      <c r="D655" s="28"/>
      <c r="E655" s="28"/>
      <c r="F655" s="28"/>
    </row>
    <row r="656">
      <c r="B656" s="28"/>
      <c r="C656" s="28"/>
      <c r="D656" s="28"/>
      <c r="E656" s="28"/>
      <c r="F656" s="28"/>
    </row>
    <row r="657">
      <c r="B657" s="28"/>
      <c r="C657" s="28"/>
      <c r="D657" s="28"/>
      <c r="E657" s="28"/>
      <c r="F657" s="28"/>
    </row>
    <row r="658">
      <c r="B658" s="28"/>
      <c r="C658" s="28"/>
      <c r="D658" s="28"/>
      <c r="E658" s="28"/>
      <c r="F658" s="28"/>
    </row>
    <row r="659">
      <c r="B659" s="28"/>
      <c r="C659" s="28"/>
      <c r="D659" s="28"/>
      <c r="E659" s="28"/>
      <c r="F659" s="28"/>
    </row>
    <row r="660">
      <c r="B660" s="28"/>
      <c r="C660" s="28"/>
      <c r="D660" s="28"/>
      <c r="E660" s="28"/>
      <c r="F660" s="28"/>
    </row>
    <row r="661">
      <c r="B661" s="28"/>
      <c r="C661" s="28"/>
      <c r="D661" s="28"/>
      <c r="E661" s="28"/>
      <c r="F661" s="28"/>
    </row>
    <row r="662">
      <c r="B662" s="28"/>
      <c r="C662" s="28"/>
      <c r="D662" s="28"/>
      <c r="E662" s="28"/>
      <c r="F662" s="28"/>
    </row>
    <row r="663">
      <c r="B663" s="28"/>
      <c r="C663" s="28"/>
      <c r="D663" s="28"/>
      <c r="E663" s="28"/>
      <c r="F663" s="28"/>
    </row>
    <row r="664">
      <c r="B664" s="28"/>
      <c r="C664" s="28"/>
      <c r="D664" s="28"/>
      <c r="E664" s="28"/>
      <c r="F664" s="28"/>
    </row>
    <row r="665">
      <c r="B665" s="28"/>
      <c r="C665" s="28"/>
      <c r="D665" s="28"/>
      <c r="E665" s="28"/>
      <c r="F665" s="28"/>
    </row>
    <row r="666">
      <c r="B666" s="28"/>
      <c r="C666" s="28"/>
      <c r="D666" s="28"/>
      <c r="E666" s="28"/>
      <c r="F666" s="28"/>
    </row>
    <row r="667">
      <c r="B667" s="28"/>
      <c r="C667" s="28"/>
      <c r="D667" s="28"/>
      <c r="E667" s="28"/>
      <c r="F667" s="28"/>
    </row>
    <row r="668">
      <c r="B668" s="28"/>
      <c r="C668" s="28"/>
      <c r="D668" s="28"/>
      <c r="E668" s="28"/>
      <c r="F668" s="28"/>
    </row>
    <row r="669">
      <c r="B669" s="28"/>
      <c r="C669" s="28"/>
      <c r="D669" s="28"/>
      <c r="E669" s="28"/>
      <c r="F669" s="28"/>
    </row>
    <row r="670">
      <c r="B670" s="28"/>
      <c r="C670" s="28"/>
      <c r="D670" s="28"/>
      <c r="E670" s="28"/>
      <c r="F670" s="28"/>
    </row>
    <row r="671">
      <c r="B671" s="28"/>
      <c r="C671" s="28"/>
      <c r="D671" s="28"/>
      <c r="E671" s="28"/>
      <c r="F671" s="28"/>
    </row>
    <row r="672">
      <c r="B672" s="28"/>
      <c r="C672" s="28"/>
      <c r="D672" s="28"/>
      <c r="E672" s="28"/>
      <c r="F672" s="28"/>
    </row>
    <row r="673">
      <c r="B673" s="28"/>
      <c r="C673" s="28"/>
      <c r="D673" s="28"/>
      <c r="E673" s="28"/>
      <c r="F673" s="28"/>
    </row>
    <row r="674">
      <c r="B674" s="28"/>
      <c r="C674" s="28"/>
      <c r="D674" s="28"/>
      <c r="E674" s="28"/>
      <c r="F674" s="28"/>
    </row>
    <row r="675">
      <c r="B675" s="28"/>
      <c r="C675" s="28"/>
      <c r="D675" s="28"/>
      <c r="E675" s="28"/>
      <c r="F675" s="28"/>
    </row>
    <row r="676">
      <c r="B676" s="28"/>
      <c r="C676" s="28"/>
      <c r="D676" s="28"/>
      <c r="E676" s="28"/>
      <c r="F676" s="28"/>
    </row>
    <row r="677">
      <c r="B677" s="28"/>
      <c r="C677" s="28"/>
      <c r="D677" s="28"/>
      <c r="E677" s="28"/>
      <c r="F677" s="28"/>
    </row>
    <row r="678">
      <c r="B678" s="28"/>
      <c r="C678" s="28"/>
      <c r="D678" s="28"/>
      <c r="E678" s="28"/>
      <c r="F678" s="28"/>
    </row>
    <row r="679">
      <c r="B679" s="28"/>
      <c r="C679" s="28"/>
      <c r="D679" s="28"/>
      <c r="E679" s="28"/>
      <c r="F679" s="28"/>
    </row>
    <row r="680">
      <c r="B680" s="28"/>
      <c r="C680" s="28"/>
      <c r="D680" s="28"/>
      <c r="E680" s="28"/>
      <c r="F680" s="28"/>
    </row>
    <row r="681">
      <c r="B681" s="28"/>
      <c r="C681" s="28"/>
      <c r="D681" s="28"/>
      <c r="E681" s="28"/>
      <c r="F681" s="28"/>
    </row>
    <row r="682">
      <c r="B682" s="28"/>
      <c r="C682" s="28"/>
      <c r="D682" s="28"/>
      <c r="E682" s="28"/>
      <c r="F682" s="28"/>
    </row>
    <row r="683">
      <c r="B683" s="28"/>
      <c r="C683" s="28"/>
      <c r="D683" s="28"/>
      <c r="E683" s="28"/>
      <c r="F683" s="28"/>
    </row>
    <row r="684">
      <c r="B684" s="28"/>
      <c r="C684" s="28"/>
      <c r="D684" s="28"/>
      <c r="E684" s="28"/>
      <c r="F684" s="28"/>
    </row>
    <row r="685">
      <c r="B685" s="28"/>
      <c r="C685" s="28"/>
      <c r="D685" s="28"/>
      <c r="E685" s="28"/>
      <c r="F685" s="28"/>
    </row>
    <row r="686">
      <c r="B686" s="28"/>
      <c r="C686" s="28"/>
      <c r="D686" s="28"/>
      <c r="E686" s="28"/>
      <c r="F686" s="28"/>
    </row>
    <row r="687">
      <c r="B687" s="28"/>
      <c r="C687" s="28"/>
      <c r="D687" s="28"/>
      <c r="E687" s="28"/>
      <c r="F687" s="28"/>
    </row>
    <row r="688">
      <c r="B688" s="28"/>
      <c r="C688" s="28"/>
      <c r="D688" s="28"/>
      <c r="E688" s="28"/>
      <c r="F688" s="28"/>
    </row>
    <row r="689">
      <c r="B689" s="28"/>
      <c r="C689" s="28"/>
      <c r="D689" s="28"/>
      <c r="E689" s="28"/>
      <c r="F689" s="28"/>
    </row>
    <row r="690">
      <c r="B690" s="28"/>
      <c r="C690" s="28"/>
      <c r="D690" s="28"/>
      <c r="E690" s="28"/>
      <c r="F690" s="28"/>
    </row>
    <row r="691">
      <c r="B691" s="28"/>
      <c r="C691" s="28"/>
      <c r="D691" s="28"/>
      <c r="E691" s="28"/>
      <c r="F691" s="28"/>
    </row>
    <row r="692">
      <c r="B692" s="28"/>
      <c r="C692" s="28"/>
      <c r="D692" s="28"/>
      <c r="E692" s="28"/>
      <c r="F692" s="28"/>
    </row>
    <row r="693">
      <c r="B693" s="28"/>
      <c r="C693" s="28"/>
      <c r="D693" s="28"/>
      <c r="E693" s="28"/>
      <c r="F693" s="28"/>
    </row>
    <row r="694">
      <c r="B694" s="28"/>
      <c r="C694" s="28"/>
      <c r="D694" s="28"/>
      <c r="E694" s="28"/>
      <c r="F694" s="28"/>
    </row>
    <row r="695">
      <c r="B695" s="28"/>
      <c r="C695" s="28"/>
      <c r="D695" s="28"/>
      <c r="E695" s="28"/>
      <c r="F695" s="28"/>
    </row>
    <row r="696">
      <c r="B696" s="28"/>
      <c r="C696" s="28"/>
      <c r="D696" s="28"/>
      <c r="E696" s="28"/>
      <c r="F696" s="28"/>
    </row>
    <row r="697">
      <c r="B697" s="28"/>
      <c r="C697" s="28"/>
      <c r="D697" s="28"/>
      <c r="E697" s="28"/>
      <c r="F697" s="28"/>
    </row>
    <row r="698">
      <c r="B698" s="28"/>
      <c r="C698" s="28"/>
      <c r="D698" s="28"/>
      <c r="E698" s="28"/>
      <c r="F698" s="28"/>
    </row>
    <row r="699">
      <c r="B699" s="28"/>
      <c r="C699" s="28"/>
      <c r="D699" s="28"/>
      <c r="E699" s="28"/>
      <c r="F699" s="28"/>
    </row>
    <row r="700">
      <c r="B700" s="28"/>
      <c r="C700" s="28"/>
      <c r="D700" s="28"/>
      <c r="E700" s="28"/>
      <c r="F700" s="28"/>
    </row>
    <row r="701">
      <c r="B701" s="28"/>
      <c r="C701" s="28"/>
      <c r="D701" s="28"/>
      <c r="E701" s="28"/>
      <c r="F701" s="28"/>
    </row>
    <row r="702">
      <c r="B702" s="28"/>
      <c r="C702" s="28"/>
      <c r="D702" s="28"/>
      <c r="E702" s="28"/>
      <c r="F702" s="28"/>
    </row>
    <row r="703">
      <c r="B703" s="28"/>
      <c r="C703" s="28"/>
      <c r="D703" s="28"/>
      <c r="E703" s="28"/>
      <c r="F703" s="28"/>
    </row>
    <row r="704">
      <c r="B704" s="28"/>
      <c r="C704" s="28"/>
      <c r="D704" s="28"/>
      <c r="E704" s="28"/>
      <c r="F704" s="28"/>
    </row>
    <row r="705">
      <c r="B705" s="28"/>
      <c r="C705" s="28"/>
      <c r="D705" s="28"/>
      <c r="E705" s="28"/>
      <c r="F705" s="28"/>
    </row>
    <row r="706">
      <c r="B706" s="28"/>
      <c r="C706" s="28"/>
      <c r="D706" s="28"/>
      <c r="E706" s="28"/>
      <c r="F706" s="28"/>
    </row>
    <row r="707">
      <c r="B707" s="28"/>
      <c r="C707" s="28"/>
      <c r="D707" s="28"/>
      <c r="E707" s="28"/>
      <c r="F707" s="28"/>
    </row>
    <row r="708">
      <c r="B708" s="28"/>
      <c r="C708" s="28"/>
      <c r="D708" s="28"/>
      <c r="E708" s="28"/>
      <c r="F708" s="28"/>
    </row>
    <row r="709">
      <c r="B709" s="28"/>
      <c r="C709" s="28"/>
      <c r="D709" s="28"/>
      <c r="E709" s="28"/>
      <c r="F709" s="28"/>
    </row>
    <row r="710">
      <c r="B710" s="28"/>
      <c r="C710" s="28"/>
      <c r="D710" s="28"/>
      <c r="E710" s="28"/>
      <c r="F710" s="28"/>
    </row>
    <row r="711">
      <c r="B711" s="28"/>
      <c r="C711" s="28"/>
      <c r="D711" s="28"/>
      <c r="E711" s="28"/>
      <c r="F711" s="28"/>
    </row>
    <row r="712">
      <c r="B712" s="28"/>
      <c r="C712" s="28"/>
      <c r="D712" s="28"/>
      <c r="E712" s="28"/>
      <c r="F712" s="28"/>
    </row>
    <row r="713">
      <c r="B713" s="28"/>
      <c r="C713" s="28"/>
      <c r="D713" s="28"/>
      <c r="E713" s="28"/>
      <c r="F713" s="28"/>
    </row>
    <row r="714">
      <c r="B714" s="28"/>
      <c r="C714" s="28"/>
      <c r="D714" s="28"/>
      <c r="E714" s="28"/>
      <c r="F714" s="28"/>
    </row>
    <row r="715">
      <c r="B715" s="28"/>
      <c r="C715" s="28"/>
      <c r="D715" s="28"/>
      <c r="E715" s="28"/>
      <c r="F715" s="28"/>
    </row>
    <row r="716">
      <c r="B716" s="28"/>
      <c r="C716" s="28"/>
      <c r="D716" s="28"/>
      <c r="E716" s="28"/>
      <c r="F716" s="28"/>
    </row>
    <row r="717">
      <c r="B717" s="28"/>
      <c r="C717" s="28"/>
      <c r="D717" s="28"/>
      <c r="E717" s="28"/>
      <c r="F717" s="28"/>
    </row>
    <row r="718">
      <c r="B718" s="28"/>
      <c r="C718" s="28"/>
      <c r="D718" s="28"/>
      <c r="E718" s="28"/>
      <c r="F718" s="28"/>
    </row>
    <row r="719">
      <c r="B719" s="28"/>
      <c r="C719" s="28"/>
      <c r="D719" s="28"/>
      <c r="E719" s="28"/>
      <c r="F719" s="28"/>
    </row>
    <row r="720">
      <c r="B720" s="28"/>
      <c r="C720" s="28"/>
      <c r="D720" s="28"/>
      <c r="E720" s="28"/>
      <c r="F720" s="28"/>
    </row>
    <row r="721">
      <c r="B721" s="28"/>
      <c r="C721" s="28"/>
      <c r="D721" s="28"/>
      <c r="E721" s="28"/>
      <c r="F721" s="28"/>
    </row>
    <row r="722">
      <c r="B722" s="28"/>
      <c r="C722" s="28"/>
      <c r="D722" s="28"/>
      <c r="E722" s="28"/>
      <c r="F722" s="28"/>
    </row>
    <row r="723">
      <c r="B723" s="28"/>
      <c r="C723" s="28"/>
      <c r="D723" s="28"/>
      <c r="E723" s="28"/>
      <c r="F723" s="28"/>
    </row>
    <row r="724">
      <c r="B724" s="28"/>
      <c r="C724" s="28"/>
      <c r="D724" s="28"/>
      <c r="E724" s="28"/>
      <c r="F724" s="28"/>
    </row>
    <row r="725">
      <c r="B725" s="28"/>
      <c r="C725" s="28"/>
      <c r="D725" s="28"/>
      <c r="E725" s="28"/>
      <c r="F725" s="28"/>
    </row>
    <row r="726">
      <c r="B726" s="28"/>
      <c r="C726" s="28"/>
      <c r="D726" s="28"/>
      <c r="E726" s="28"/>
      <c r="F726" s="28"/>
    </row>
    <row r="727">
      <c r="B727" s="28"/>
      <c r="C727" s="28"/>
      <c r="D727" s="28"/>
      <c r="E727" s="28"/>
      <c r="F727" s="28"/>
    </row>
    <row r="728">
      <c r="B728" s="28"/>
      <c r="C728" s="28"/>
      <c r="D728" s="28"/>
      <c r="E728" s="28"/>
      <c r="F728" s="28"/>
    </row>
    <row r="729">
      <c r="B729" s="28"/>
      <c r="C729" s="28"/>
      <c r="D729" s="28"/>
      <c r="E729" s="28"/>
      <c r="F729" s="28"/>
    </row>
    <row r="730">
      <c r="B730" s="28"/>
      <c r="C730" s="28"/>
      <c r="D730" s="28"/>
      <c r="E730" s="28"/>
      <c r="F730" s="28"/>
    </row>
    <row r="731">
      <c r="B731" s="28"/>
      <c r="C731" s="28"/>
      <c r="D731" s="28"/>
      <c r="E731" s="28"/>
      <c r="F731" s="28"/>
    </row>
    <row r="732">
      <c r="B732" s="28"/>
      <c r="C732" s="28"/>
      <c r="D732" s="28"/>
      <c r="E732" s="28"/>
      <c r="F732" s="28"/>
    </row>
    <row r="733">
      <c r="B733" s="28"/>
      <c r="C733" s="28"/>
      <c r="D733" s="28"/>
      <c r="E733" s="28"/>
      <c r="F733" s="28"/>
    </row>
    <row r="734">
      <c r="B734" s="28"/>
      <c r="C734" s="28"/>
      <c r="D734" s="28"/>
      <c r="E734" s="28"/>
      <c r="F734" s="28"/>
    </row>
    <row r="735">
      <c r="B735" s="28"/>
      <c r="C735" s="28"/>
      <c r="D735" s="28"/>
      <c r="E735" s="28"/>
      <c r="F735" s="28"/>
    </row>
    <row r="736">
      <c r="B736" s="28"/>
      <c r="C736" s="28"/>
      <c r="D736" s="28"/>
      <c r="E736" s="28"/>
      <c r="F736" s="28"/>
    </row>
    <row r="737">
      <c r="B737" s="28"/>
      <c r="C737" s="28"/>
      <c r="D737" s="28"/>
      <c r="E737" s="28"/>
      <c r="F737" s="28"/>
    </row>
    <row r="738">
      <c r="B738" s="28"/>
      <c r="C738" s="28"/>
      <c r="D738" s="28"/>
      <c r="E738" s="28"/>
      <c r="F738" s="28"/>
    </row>
    <row r="739">
      <c r="B739" s="28"/>
      <c r="C739" s="28"/>
      <c r="D739" s="28"/>
      <c r="E739" s="28"/>
      <c r="F739" s="28"/>
    </row>
    <row r="740">
      <c r="B740" s="28"/>
      <c r="C740" s="28"/>
      <c r="D740" s="28"/>
      <c r="E740" s="28"/>
      <c r="F740" s="28"/>
    </row>
    <row r="741">
      <c r="B741" s="28"/>
      <c r="C741" s="28"/>
      <c r="D741" s="28"/>
      <c r="E741" s="28"/>
      <c r="F741" s="28"/>
    </row>
    <row r="742">
      <c r="B742" s="28"/>
      <c r="C742" s="28"/>
      <c r="D742" s="28"/>
      <c r="E742" s="28"/>
      <c r="F742" s="28"/>
    </row>
    <row r="743">
      <c r="B743" s="28"/>
      <c r="C743" s="28"/>
      <c r="D743" s="28"/>
      <c r="E743" s="28"/>
      <c r="F743" s="28"/>
    </row>
    <row r="744">
      <c r="B744" s="28"/>
      <c r="C744" s="28"/>
      <c r="D744" s="28"/>
      <c r="E744" s="28"/>
      <c r="F744" s="28"/>
    </row>
    <row r="745">
      <c r="B745" s="28"/>
      <c r="C745" s="28"/>
      <c r="D745" s="28"/>
      <c r="E745" s="28"/>
      <c r="F745" s="28"/>
    </row>
    <row r="746">
      <c r="B746" s="28"/>
      <c r="C746" s="28"/>
      <c r="D746" s="28"/>
      <c r="E746" s="28"/>
      <c r="F746" s="28"/>
    </row>
    <row r="747">
      <c r="B747" s="28"/>
      <c r="C747" s="28"/>
      <c r="D747" s="28"/>
      <c r="E747" s="28"/>
      <c r="F747" s="28"/>
    </row>
    <row r="748">
      <c r="B748" s="28"/>
      <c r="C748" s="28"/>
      <c r="D748" s="28"/>
      <c r="E748" s="28"/>
      <c r="F748" s="28"/>
    </row>
    <row r="749">
      <c r="B749" s="28"/>
      <c r="C749" s="28"/>
      <c r="D749" s="28"/>
      <c r="E749" s="28"/>
      <c r="F749" s="28"/>
    </row>
    <row r="750">
      <c r="B750" s="28"/>
      <c r="C750" s="28"/>
      <c r="D750" s="28"/>
      <c r="E750" s="28"/>
      <c r="F750" s="28"/>
    </row>
    <row r="751">
      <c r="B751" s="28"/>
      <c r="C751" s="28"/>
      <c r="D751" s="28"/>
      <c r="E751" s="28"/>
      <c r="F751" s="28"/>
    </row>
    <row r="752">
      <c r="B752" s="28"/>
      <c r="C752" s="28"/>
      <c r="D752" s="28"/>
      <c r="E752" s="28"/>
      <c r="F752" s="28"/>
    </row>
    <row r="753">
      <c r="B753" s="28"/>
      <c r="C753" s="28"/>
      <c r="D753" s="28"/>
      <c r="E753" s="28"/>
      <c r="F753" s="28"/>
    </row>
    <row r="754">
      <c r="B754" s="28"/>
      <c r="C754" s="28"/>
      <c r="D754" s="28"/>
      <c r="E754" s="28"/>
      <c r="F754" s="28"/>
    </row>
    <row r="755">
      <c r="B755" s="28"/>
      <c r="C755" s="28"/>
      <c r="D755" s="28"/>
      <c r="E755" s="28"/>
      <c r="F755" s="28"/>
    </row>
    <row r="756">
      <c r="B756" s="28"/>
      <c r="C756" s="28"/>
      <c r="D756" s="28"/>
      <c r="E756" s="28"/>
      <c r="F756" s="28"/>
    </row>
    <row r="757">
      <c r="B757" s="28"/>
      <c r="C757" s="28"/>
      <c r="D757" s="28"/>
      <c r="E757" s="28"/>
      <c r="F757" s="28"/>
    </row>
    <row r="758">
      <c r="B758" s="28"/>
      <c r="C758" s="28"/>
      <c r="D758" s="28"/>
      <c r="E758" s="28"/>
      <c r="F758" s="28"/>
    </row>
    <row r="759">
      <c r="B759" s="28"/>
      <c r="C759" s="28"/>
      <c r="D759" s="28"/>
      <c r="E759" s="28"/>
      <c r="F759" s="28"/>
    </row>
    <row r="760">
      <c r="B760" s="28"/>
      <c r="C760" s="28"/>
      <c r="D760" s="28"/>
      <c r="E760" s="28"/>
      <c r="F760" s="28"/>
    </row>
    <row r="761">
      <c r="B761" s="28"/>
      <c r="C761" s="28"/>
      <c r="D761" s="28"/>
      <c r="E761" s="28"/>
      <c r="F761" s="28"/>
    </row>
    <row r="762">
      <c r="B762" s="28"/>
      <c r="C762" s="28"/>
      <c r="D762" s="28"/>
      <c r="E762" s="28"/>
      <c r="F762" s="28"/>
    </row>
    <row r="763">
      <c r="B763" s="28"/>
      <c r="C763" s="28"/>
      <c r="D763" s="28"/>
      <c r="E763" s="28"/>
      <c r="F763" s="28"/>
    </row>
    <row r="764">
      <c r="B764" s="28"/>
      <c r="C764" s="28"/>
      <c r="D764" s="28"/>
      <c r="E764" s="28"/>
      <c r="F764" s="28"/>
    </row>
    <row r="765">
      <c r="B765" s="28"/>
      <c r="C765" s="28"/>
      <c r="D765" s="28"/>
      <c r="E765" s="28"/>
      <c r="F765" s="28"/>
    </row>
    <row r="766">
      <c r="B766" s="28"/>
      <c r="C766" s="28"/>
      <c r="D766" s="28"/>
      <c r="E766" s="28"/>
      <c r="F766" s="28"/>
    </row>
    <row r="767">
      <c r="B767" s="28"/>
      <c r="C767" s="28"/>
      <c r="D767" s="28"/>
      <c r="E767" s="28"/>
      <c r="F767" s="28"/>
    </row>
    <row r="768">
      <c r="B768" s="28"/>
      <c r="C768" s="28"/>
      <c r="D768" s="28"/>
      <c r="E768" s="28"/>
      <c r="F768" s="28"/>
    </row>
    <row r="769">
      <c r="B769" s="28"/>
      <c r="C769" s="28"/>
      <c r="D769" s="28"/>
      <c r="E769" s="28"/>
      <c r="F769" s="28"/>
    </row>
    <row r="770">
      <c r="B770" s="28"/>
      <c r="C770" s="28"/>
      <c r="D770" s="28"/>
      <c r="E770" s="28"/>
      <c r="F770" s="28"/>
    </row>
    <row r="771">
      <c r="B771" s="28"/>
      <c r="C771" s="28"/>
      <c r="D771" s="28"/>
      <c r="E771" s="28"/>
      <c r="F771" s="28"/>
    </row>
    <row r="772">
      <c r="B772" s="28"/>
      <c r="C772" s="28"/>
      <c r="D772" s="28"/>
      <c r="E772" s="28"/>
      <c r="F772" s="28"/>
    </row>
    <row r="773">
      <c r="B773" s="28"/>
      <c r="C773" s="28"/>
      <c r="D773" s="28"/>
      <c r="E773" s="28"/>
      <c r="F773" s="28"/>
    </row>
    <row r="774">
      <c r="B774" s="28"/>
      <c r="C774" s="28"/>
      <c r="D774" s="28"/>
      <c r="E774" s="28"/>
      <c r="F774" s="28"/>
    </row>
    <row r="775">
      <c r="B775" s="28"/>
      <c r="C775" s="28"/>
      <c r="D775" s="28"/>
      <c r="E775" s="28"/>
      <c r="F775" s="28"/>
    </row>
    <row r="776">
      <c r="B776" s="28"/>
      <c r="C776" s="28"/>
      <c r="D776" s="28"/>
      <c r="E776" s="28"/>
      <c r="F776" s="28"/>
    </row>
    <row r="777">
      <c r="B777" s="28"/>
      <c r="C777" s="28"/>
      <c r="D777" s="28"/>
      <c r="E777" s="28"/>
      <c r="F777" s="28"/>
    </row>
    <row r="778">
      <c r="B778" s="28"/>
      <c r="C778" s="28"/>
      <c r="D778" s="28"/>
      <c r="E778" s="28"/>
      <c r="F778" s="28"/>
    </row>
    <row r="779">
      <c r="B779" s="28"/>
      <c r="C779" s="28"/>
      <c r="D779" s="28"/>
      <c r="E779" s="28"/>
      <c r="F779" s="28"/>
    </row>
    <row r="780">
      <c r="B780" s="28"/>
      <c r="C780" s="28"/>
      <c r="D780" s="28"/>
      <c r="E780" s="28"/>
      <c r="F780" s="28"/>
    </row>
    <row r="781">
      <c r="B781" s="28"/>
      <c r="C781" s="28"/>
      <c r="D781" s="28"/>
      <c r="E781" s="28"/>
      <c r="F781" s="28"/>
    </row>
    <row r="782">
      <c r="B782" s="28"/>
      <c r="C782" s="28"/>
      <c r="D782" s="28"/>
      <c r="E782" s="28"/>
      <c r="F782" s="28"/>
    </row>
    <row r="783">
      <c r="B783" s="28"/>
      <c r="C783" s="28"/>
      <c r="D783" s="28"/>
      <c r="E783" s="28"/>
      <c r="F783" s="28"/>
    </row>
    <row r="784">
      <c r="B784" s="28"/>
      <c r="C784" s="28"/>
      <c r="D784" s="28"/>
      <c r="E784" s="28"/>
      <c r="F784" s="28"/>
    </row>
    <row r="785">
      <c r="B785" s="28"/>
      <c r="C785" s="28"/>
      <c r="D785" s="28"/>
      <c r="E785" s="28"/>
      <c r="F785" s="28"/>
    </row>
    <row r="786">
      <c r="B786" s="28"/>
      <c r="C786" s="28"/>
      <c r="D786" s="28"/>
      <c r="E786" s="28"/>
      <c r="F786" s="28"/>
    </row>
    <row r="787">
      <c r="B787" s="28"/>
      <c r="C787" s="28"/>
      <c r="D787" s="28"/>
      <c r="E787" s="28"/>
      <c r="F787" s="28"/>
    </row>
    <row r="788">
      <c r="B788" s="28"/>
      <c r="C788" s="28"/>
      <c r="D788" s="28"/>
      <c r="E788" s="28"/>
      <c r="F788" s="28"/>
    </row>
    <row r="789">
      <c r="B789" s="28"/>
      <c r="C789" s="28"/>
      <c r="D789" s="28"/>
      <c r="E789" s="28"/>
      <c r="F789" s="28"/>
    </row>
    <row r="790">
      <c r="B790" s="28"/>
      <c r="C790" s="28"/>
      <c r="D790" s="28"/>
      <c r="E790" s="28"/>
      <c r="F790" s="28"/>
    </row>
    <row r="791">
      <c r="B791" s="28"/>
      <c r="C791" s="28"/>
      <c r="D791" s="28"/>
      <c r="E791" s="28"/>
      <c r="F791" s="28"/>
    </row>
    <row r="792">
      <c r="B792" s="28"/>
      <c r="C792" s="28"/>
      <c r="D792" s="28"/>
      <c r="E792" s="28"/>
      <c r="F792" s="28"/>
    </row>
    <row r="793">
      <c r="B793" s="28"/>
      <c r="C793" s="28"/>
      <c r="D793" s="28"/>
      <c r="E793" s="28"/>
      <c r="F793" s="28"/>
    </row>
    <row r="794">
      <c r="B794" s="28"/>
      <c r="C794" s="28"/>
      <c r="D794" s="28"/>
      <c r="E794" s="28"/>
      <c r="F794" s="28"/>
    </row>
    <row r="795">
      <c r="B795" s="28"/>
      <c r="C795" s="28"/>
      <c r="D795" s="28"/>
      <c r="E795" s="28"/>
      <c r="F795" s="28"/>
    </row>
    <row r="796">
      <c r="B796" s="28"/>
      <c r="C796" s="28"/>
      <c r="D796" s="28"/>
      <c r="E796" s="28"/>
      <c r="F796" s="28"/>
    </row>
    <row r="797">
      <c r="B797" s="28"/>
      <c r="C797" s="28"/>
      <c r="D797" s="28"/>
      <c r="E797" s="28"/>
      <c r="F797" s="28"/>
    </row>
    <row r="798">
      <c r="B798" s="28"/>
      <c r="C798" s="28"/>
      <c r="D798" s="28"/>
      <c r="E798" s="28"/>
      <c r="F798" s="28"/>
    </row>
    <row r="799">
      <c r="B799" s="28"/>
      <c r="C799" s="28"/>
      <c r="D799" s="28"/>
      <c r="E799" s="28"/>
      <c r="F799" s="28"/>
    </row>
    <row r="800">
      <c r="B800" s="28"/>
      <c r="C800" s="28"/>
      <c r="D800" s="28"/>
      <c r="E800" s="28"/>
      <c r="F800" s="28"/>
    </row>
    <row r="801">
      <c r="B801" s="28"/>
      <c r="C801" s="28"/>
      <c r="D801" s="28"/>
      <c r="E801" s="28"/>
      <c r="F801" s="28"/>
    </row>
    <row r="802">
      <c r="B802" s="28"/>
      <c r="C802" s="28"/>
      <c r="D802" s="28"/>
      <c r="E802" s="28"/>
      <c r="F802" s="28"/>
    </row>
    <row r="803">
      <c r="B803" s="28"/>
      <c r="C803" s="28"/>
      <c r="D803" s="28"/>
      <c r="E803" s="28"/>
      <c r="F803" s="28"/>
    </row>
    <row r="804">
      <c r="B804" s="28"/>
      <c r="C804" s="28"/>
      <c r="D804" s="28"/>
      <c r="E804" s="28"/>
      <c r="F804" s="28"/>
    </row>
    <row r="805">
      <c r="B805" s="28"/>
      <c r="C805" s="28"/>
      <c r="D805" s="28"/>
      <c r="E805" s="28"/>
      <c r="F805" s="28"/>
    </row>
    <row r="806">
      <c r="B806" s="28"/>
      <c r="C806" s="28"/>
      <c r="D806" s="28"/>
      <c r="E806" s="28"/>
      <c r="F806" s="28"/>
    </row>
    <row r="807">
      <c r="B807" s="28"/>
      <c r="C807" s="28"/>
      <c r="D807" s="28"/>
      <c r="E807" s="28"/>
      <c r="F807" s="28"/>
    </row>
    <row r="808">
      <c r="B808" s="28"/>
      <c r="C808" s="28"/>
      <c r="D808" s="28"/>
      <c r="E808" s="28"/>
      <c r="F808" s="28"/>
    </row>
    <row r="809">
      <c r="B809" s="28"/>
      <c r="C809" s="28"/>
      <c r="D809" s="28"/>
      <c r="E809" s="28"/>
      <c r="F809" s="28"/>
    </row>
    <row r="810">
      <c r="B810" s="28"/>
      <c r="C810" s="28"/>
      <c r="D810" s="28"/>
      <c r="E810" s="28"/>
      <c r="F810" s="28"/>
    </row>
    <row r="811">
      <c r="B811" s="28"/>
      <c r="C811" s="28"/>
      <c r="D811" s="28"/>
      <c r="E811" s="28"/>
      <c r="F811" s="28"/>
    </row>
    <row r="812">
      <c r="B812" s="28"/>
      <c r="C812" s="28"/>
      <c r="D812" s="28"/>
      <c r="E812" s="28"/>
      <c r="F812" s="28"/>
    </row>
    <row r="813">
      <c r="B813" s="28"/>
      <c r="C813" s="28"/>
      <c r="D813" s="28"/>
      <c r="E813" s="28"/>
      <c r="F813" s="28"/>
    </row>
    <row r="814">
      <c r="B814" s="28"/>
      <c r="C814" s="28"/>
      <c r="D814" s="28"/>
      <c r="E814" s="28"/>
      <c r="F814" s="28"/>
    </row>
    <row r="815">
      <c r="B815" s="28"/>
      <c r="C815" s="28"/>
      <c r="D815" s="28"/>
      <c r="E815" s="28"/>
      <c r="F815" s="28"/>
    </row>
    <row r="816">
      <c r="B816" s="28"/>
      <c r="C816" s="28"/>
      <c r="D816" s="28"/>
      <c r="E816" s="28"/>
      <c r="F816" s="28"/>
    </row>
    <row r="817">
      <c r="B817" s="28"/>
      <c r="C817" s="28"/>
      <c r="D817" s="28"/>
      <c r="E817" s="28"/>
      <c r="F817" s="28"/>
    </row>
    <row r="818">
      <c r="B818" s="28"/>
      <c r="C818" s="28"/>
      <c r="D818" s="28"/>
      <c r="E818" s="28"/>
      <c r="F818" s="28"/>
    </row>
    <row r="819">
      <c r="B819" s="28"/>
      <c r="C819" s="28"/>
      <c r="D819" s="28"/>
      <c r="E819" s="28"/>
      <c r="F819" s="28"/>
    </row>
    <row r="820">
      <c r="B820" s="28"/>
      <c r="C820" s="28"/>
      <c r="D820" s="28"/>
      <c r="E820" s="28"/>
      <c r="F820" s="28"/>
    </row>
    <row r="821">
      <c r="B821" s="28"/>
      <c r="C821" s="28"/>
      <c r="D821" s="28"/>
      <c r="E821" s="28"/>
      <c r="F821" s="28"/>
    </row>
    <row r="822">
      <c r="B822" s="28"/>
      <c r="C822" s="28"/>
      <c r="D822" s="28"/>
      <c r="E822" s="28"/>
      <c r="F822" s="28"/>
    </row>
    <row r="823">
      <c r="B823" s="28"/>
      <c r="C823" s="28"/>
      <c r="D823" s="28"/>
      <c r="E823" s="28"/>
      <c r="F823" s="28"/>
    </row>
    <row r="824">
      <c r="B824" s="28"/>
      <c r="C824" s="28"/>
      <c r="D824" s="28"/>
      <c r="E824" s="28"/>
      <c r="F824" s="28"/>
    </row>
    <row r="825">
      <c r="B825" s="28"/>
      <c r="C825" s="28"/>
      <c r="D825" s="28"/>
      <c r="E825" s="28"/>
      <c r="F825" s="28"/>
    </row>
    <row r="826">
      <c r="B826" s="28"/>
      <c r="C826" s="28"/>
      <c r="D826" s="28"/>
      <c r="E826" s="28"/>
      <c r="F826" s="28"/>
    </row>
    <row r="827">
      <c r="B827" s="28"/>
      <c r="C827" s="28"/>
      <c r="D827" s="28"/>
      <c r="E827" s="28"/>
      <c r="F827" s="28"/>
    </row>
    <row r="828">
      <c r="B828" s="28"/>
      <c r="C828" s="28"/>
      <c r="D828" s="28"/>
      <c r="E828" s="28"/>
      <c r="F828" s="28"/>
    </row>
    <row r="829">
      <c r="B829" s="28"/>
      <c r="C829" s="28"/>
      <c r="D829" s="28"/>
      <c r="E829" s="28"/>
      <c r="F829" s="28"/>
    </row>
    <row r="830">
      <c r="B830" s="28"/>
      <c r="C830" s="28"/>
      <c r="D830" s="28"/>
      <c r="E830" s="28"/>
      <c r="F830" s="28"/>
    </row>
    <row r="831">
      <c r="B831" s="28"/>
      <c r="C831" s="28"/>
      <c r="D831" s="28"/>
      <c r="E831" s="28"/>
      <c r="F831" s="28"/>
    </row>
    <row r="832">
      <c r="B832" s="28"/>
      <c r="C832" s="28"/>
      <c r="D832" s="28"/>
      <c r="E832" s="28"/>
      <c r="F832" s="28"/>
    </row>
    <row r="833">
      <c r="B833" s="28"/>
      <c r="C833" s="28"/>
      <c r="D833" s="28"/>
      <c r="E833" s="28"/>
      <c r="F833" s="28"/>
    </row>
    <row r="834">
      <c r="B834" s="28"/>
      <c r="C834" s="28"/>
      <c r="D834" s="28"/>
      <c r="E834" s="28"/>
      <c r="F834" s="28"/>
    </row>
    <row r="835">
      <c r="B835" s="28"/>
      <c r="C835" s="28"/>
      <c r="D835" s="28"/>
      <c r="E835" s="28"/>
      <c r="F835" s="28"/>
    </row>
    <row r="836">
      <c r="B836" s="28"/>
      <c r="C836" s="28"/>
      <c r="D836" s="28"/>
      <c r="E836" s="28"/>
      <c r="F836" s="28"/>
    </row>
    <row r="837">
      <c r="B837" s="28"/>
      <c r="C837" s="28"/>
      <c r="D837" s="28"/>
      <c r="E837" s="28"/>
      <c r="F837" s="28"/>
    </row>
    <row r="838">
      <c r="B838" s="28"/>
      <c r="C838" s="28"/>
      <c r="D838" s="28"/>
      <c r="E838" s="28"/>
      <c r="F838" s="28"/>
    </row>
    <row r="839">
      <c r="B839" s="28"/>
      <c r="C839" s="28"/>
      <c r="D839" s="28"/>
      <c r="E839" s="28"/>
      <c r="F839" s="28"/>
    </row>
    <row r="840">
      <c r="B840" s="28"/>
      <c r="C840" s="28"/>
      <c r="D840" s="28"/>
      <c r="E840" s="28"/>
      <c r="F840" s="28"/>
    </row>
    <row r="841">
      <c r="B841" s="28"/>
      <c r="C841" s="28"/>
      <c r="D841" s="28"/>
      <c r="E841" s="28"/>
      <c r="F841" s="28"/>
    </row>
    <row r="842">
      <c r="B842" s="28"/>
      <c r="C842" s="28"/>
      <c r="D842" s="28"/>
      <c r="E842" s="28"/>
      <c r="F842" s="28"/>
    </row>
    <row r="843">
      <c r="B843" s="28"/>
      <c r="C843" s="28"/>
      <c r="D843" s="28"/>
      <c r="E843" s="28"/>
      <c r="F843" s="28"/>
    </row>
    <row r="844">
      <c r="B844" s="28"/>
      <c r="C844" s="28"/>
      <c r="D844" s="28"/>
      <c r="E844" s="28"/>
      <c r="F844" s="28"/>
    </row>
    <row r="845">
      <c r="B845" s="28"/>
      <c r="C845" s="28"/>
      <c r="D845" s="28"/>
      <c r="E845" s="28"/>
      <c r="F845" s="28"/>
    </row>
    <row r="846">
      <c r="B846" s="28"/>
      <c r="C846" s="28"/>
      <c r="D846" s="28"/>
      <c r="E846" s="28"/>
      <c r="F846" s="28"/>
    </row>
    <row r="847">
      <c r="B847" s="28"/>
      <c r="C847" s="28"/>
      <c r="D847" s="28"/>
      <c r="E847" s="28"/>
      <c r="F847" s="28"/>
    </row>
    <row r="848">
      <c r="B848" s="28"/>
      <c r="C848" s="28"/>
      <c r="D848" s="28"/>
      <c r="E848" s="28"/>
      <c r="F848" s="28"/>
    </row>
    <row r="849">
      <c r="B849" s="28"/>
      <c r="C849" s="28"/>
      <c r="D849" s="28"/>
      <c r="E849" s="28"/>
      <c r="F849" s="28"/>
    </row>
    <row r="850">
      <c r="B850" s="28"/>
      <c r="C850" s="28"/>
      <c r="D850" s="28"/>
      <c r="E850" s="28"/>
      <c r="F850" s="28"/>
    </row>
    <row r="851">
      <c r="B851" s="28"/>
      <c r="C851" s="28"/>
      <c r="D851" s="28"/>
      <c r="E851" s="28"/>
      <c r="F851" s="28"/>
    </row>
    <row r="852">
      <c r="B852" s="28"/>
      <c r="C852" s="28"/>
      <c r="D852" s="28"/>
      <c r="E852" s="28"/>
      <c r="F852" s="28"/>
    </row>
    <row r="853">
      <c r="B853" s="28"/>
      <c r="C853" s="28"/>
      <c r="D853" s="28"/>
      <c r="E853" s="28"/>
      <c r="F853" s="28"/>
    </row>
    <row r="854">
      <c r="B854" s="28"/>
      <c r="C854" s="28"/>
      <c r="D854" s="28"/>
      <c r="E854" s="28"/>
      <c r="F854" s="28"/>
    </row>
    <row r="855">
      <c r="B855" s="28"/>
      <c r="C855" s="28"/>
      <c r="D855" s="28"/>
      <c r="E855" s="28"/>
      <c r="F855" s="28"/>
    </row>
    <row r="856">
      <c r="B856" s="28"/>
      <c r="C856" s="28"/>
      <c r="D856" s="28"/>
      <c r="E856" s="28"/>
      <c r="F856" s="28"/>
    </row>
    <row r="857">
      <c r="B857" s="28"/>
      <c r="C857" s="28"/>
      <c r="D857" s="28"/>
      <c r="E857" s="28"/>
      <c r="F857" s="28"/>
    </row>
    <row r="858">
      <c r="B858" s="28"/>
      <c r="C858" s="28"/>
      <c r="D858" s="28"/>
      <c r="E858" s="28"/>
      <c r="F858" s="28"/>
    </row>
    <row r="859">
      <c r="B859" s="28"/>
      <c r="C859" s="28"/>
      <c r="D859" s="28"/>
      <c r="E859" s="28"/>
      <c r="F859" s="28"/>
    </row>
    <row r="860">
      <c r="B860" s="28"/>
      <c r="C860" s="28"/>
      <c r="D860" s="28"/>
      <c r="E860" s="28"/>
      <c r="F860" s="28"/>
    </row>
    <row r="861">
      <c r="B861" s="28"/>
      <c r="C861" s="28"/>
      <c r="D861" s="28"/>
      <c r="E861" s="28"/>
      <c r="F861" s="28"/>
    </row>
    <row r="862">
      <c r="B862" s="28"/>
      <c r="C862" s="28"/>
      <c r="D862" s="28"/>
      <c r="E862" s="28"/>
      <c r="F862" s="28"/>
    </row>
    <row r="863">
      <c r="B863" s="28"/>
      <c r="C863" s="28"/>
      <c r="D863" s="28"/>
      <c r="E863" s="28"/>
      <c r="F863" s="28"/>
    </row>
    <row r="864">
      <c r="B864" s="28"/>
      <c r="C864" s="28"/>
      <c r="D864" s="28"/>
      <c r="E864" s="28"/>
      <c r="F864" s="28"/>
    </row>
    <row r="865">
      <c r="B865" s="28"/>
      <c r="C865" s="28"/>
      <c r="D865" s="28"/>
      <c r="E865" s="28"/>
      <c r="F865" s="28"/>
    </row>
    <row r="866">
      <c r="B866" s="28"/>
      <c r="C866" s="28"/>
      <c r="D866" s="28"/>
      <c r="E866" s="28"/>
      <c r="F866" s="28"/>
    </row>
    <row r="867">
      <c r="B867" s="28"/>
      <c r="C867" s="28"/>
      <c r="D867" s="28"/>
      <c r="E867" s="28"/>
      <c r="F867" s="28"/>
    </row>
    <row r="868">
      <c r="B868" s="28"/>
      <c r="C868" s="28"/>
      <c r="D868" s="28"/>
      <c r="E868" s="28"/>
      <c r="F868" s="28"/>
    </row>
    <row r="869">
      <c r="B869" s="28"/>
      <c r="C869" s="28"/>
      <c r="D869" s="28"/>
      <c r="E869" s="28"/>
      <c r="F869" s="28"/>
    </row>
    <row r="870">
      <c r="B870" s="28"/>
      <c r="C870" s="28"/>
      <c r="D870" s="28"/>
      <c r="E870" s="28"/>
      <c r="F870" s="28"/>
    </row>
    <row r="871">
      <c r="B871" s="28"/>
      <c r="C871" s="28"/>
      <c r="D871" s="28"/>
      <c r="E871" s="28"/>
      <c r="F871" s="28"/>
    </row>
    <row r="872">
      <c r="B872" s="28"/>
      <c r="C872" s="28"/>
      <c r="D872" s="28"/>
      <c r="E872" s="28"/>
      <c r="F872" s="28"/>
    </row>
    <row r="873">
      <c r="B873" s="28"/>
      <c r="C873" s="28"/>
      <c r="D873" s="28"/>
      <c r="E873" s="28"/>
      <c r="F873" s="28"/>
    </row>
    <row r="874">
      <c r="B874" s="28"/>
      <c r="C874" s="28"/>
      <c r="D874" s="28"/>
      <c r="E874" s="28"/>
      <c r="F874" s="28"/>
    </row>
    <row r="875">
      <c r="B875" s="28"/>
      <c r="C875" s="28"/>
      <c r="D875" s="28"/>
      <c r="E875" s="28"/>
      <c r="F875" s="28"/>
    </row>
    <row r="876">
      <c r="B876" s="28"/>
      <c r="C876" s="28"/>
      <c r="D876" s="28"/>
      <c r="E876" s="28"/>
      <c r="F876" s="28"/>
    </row>
    <row r="877">
      <c r="B877" s="28"/>
      <c r="C877" s="28"/>
      <c r="D877" s="28"/>
      <c r="E877" s="28"/>
      <c r="F877" s="28"/>
    </row>
    <row r="878">
      <c r="B878" s="28"/>
      <c r="C878" s="28"/>
      <c r="D878" s="28"/>
      <c r="E878" s="28"/>
      <c r="F878" s="28"/>
    </row>
    <row r="879">
      <c r="B879" s="28"/>
      <c r="C879" s="28"/>
      <c r="D879" s="28"/>
      <c r="E879" s="28"/>
      <c r="F879" s="28"/>
    </row>
    <row r="880">
      <c r="B880" s="28"/>
      <c r="C880" s="28"/>
      <c r="D880" s="28"/>
      <c r="E880" s="28"/>
      <c r="F880" s="28"/>
    </row>
    <row r="881">
      <c r="B881" s="28"/>
      <c r="C881" s="28"/>
      <c r="D881" s="28"/>
      <c r="E881" s="28"/>
      <c r="F881" s="28"/>
    </row>
    <row r="882">
      <c r="B882" s="28"/>
      <c r="C882" s="28"/>
      <c r="D882" s="28"/>
      <c r="E882" s="28"/>
      <c r="F882" s="28"/>
    </row>
    <row r="883">
      <c r="B883" s="28"/>
      <c r="C883" s="28"/>
      <c r="D883" s="28"/>
      <c r="E883" s="28"/>
      <c r="F883" s="28"/>
    </row>
    <row r="884">
      <c r="B884" s="28"/>
      <c r="C884" s="28"/>
      <c r="D884" s="28"/>
      <c r="E884" s="28"/>
      <c r="F884" s="28"/>
    </row>
    <row r="885">
      <c r="B885" s="28"/>
      <c r="C885" s="28"/>
      <c r="D885" s="28"/>
      <c r="E885" s="28"/>
      <c r="F885" s="28"/>
    </row>
    <row r="886">
      <c r="B886" s="28"/>
      <c r="C886" s="28"/>
      <c r="D886" s="28"/>
      <c r="E886" s="28"/>
      <c r="F886" s="28"/>
    </row>
    <row r="887">
      <c r="B887" s="28"/>
      <c r="C887" s="28"/>
      <c r="D887" s="28"/>
      <c r="E887" s="28"/>
      <c r="F887" s="28"/>
    </row>
    <row r="888">
      <c r="B888" s="28"/>
      <c r="C888" s="28"/>
      <c r="D888" s="28"/>
      <c r="E888" s="28"/>
      <c r="F888" s="28"/>
    </row>
    <row r="889">
      <c r="B889" s="28"/>
      <c r="C889" s="28"/>
      <c r="D889" s="28"/>
      <c r="E889" s="28"/>
      <c r="F889" s="28"/>
    </row>
    <row r="890">
      <c r="B890" s="28"/>
      <c r="C890" s="28"/>
      <c r="D890" s="28"/>
      <c r="E890" s="28"/>
      <c r="F890" s="28"/>
    </row>
    <row r="891">
      <c r="B891" s="28"/>
      <c r="C891" s="28"/>
      <c r="D891" s="28"/>
      <c r="E891" s="28"/>
      <c r="F891" s="28"/>
    </row>
    <row r="892">
      <c r="B892" s="28"/>
      <c r="C892" s="28"/>
      <c r="D892" s="28"/>
      <c r="E892" s="28"/>
      <c r="F892" s="28"/>
    </row>
    <row r="893">
      <c r="B893" s="28"/>
      <c r="C893" s="28"/>
      <c r="D893" s="28"/>
      <c r="E893" s="28"/>
      <c r="F893" s="28"/>
    </row>
    <row r="894">
      <c r="B894" s="28"/>
      <c r="C894" s="28"/>
      <c r="D894" s="28"/>
      <c r="E894" s="28"/>
      <c r="F894" s="28"/>
    </row>
    <row r="895">
      <c r="B895" s="28"/>
      <c r="C895" s="28"/>
      <c r="D895" s="28"/>
      <c r="E895" s="28"/>
      <c r="F895" s="28"/>
    </row>
    <row r="896">
      <c r="B896" s="28"/>
      <c r="C896" s="28"/>
      <c r="D896" s="28"/>
      <c r="E896" s="28"/>
      <c r="F896" s="28"/>
    </row>
    <row r="897">
      <c r="B897" s="28"/>
      <c r="C897" s="28"/>
      <c r="D897" s="28"/>
      <c r="E897" s="28"/>
      <c r="F897" s="28"/>
    </row>
    <row r="898">
      <c r="B898" s="28"/>
      <c r="C898" s="28"/>
      <c r="D898" s="28"/>
      <c r="E898" s="28"/>
      <c r="F898" s="28"/>
    </row>
    <row r="899">
      <c r="B899" s="28"/>
      <c r="C899" s="28"/>
      <c r="D899" s="28"/>
      <c r="E899" s="28"/>
      <c r="F899" s="28"/>
    </row>
    <row r="900">
      <c r="B900" s="28"/>
      <c r="C900" s="28"/>
      <c r="D900" s="28"/>
      <c r="E900" s="28"/>
      <c r="F900" s="28"/>
    </row>
    <row r="901">
      <c r="B901" s="28"/>
      <c r="C901" s="28"/>
      <c r="D901" s="28"/>
      <c r="E901" s="28"/>
      <c r="F901" s="28"/>
    </row>
    <row r="902">
      <c r="B902" s="28"/>
      <c r="C902" s="28"/>
      <c r="D902" s="28"/>
      <c r="E902" s="28"/>
      <c r="F902" s="28"/>
    </row>
    <row r="903">
      <c r="B903" s="28"/>
      <c r="C903" s="28"/>
      <c r="D903" s="28"/>
      <c r="E903" s="28"/>
      <c r="F903" s="28"/>
    </row>
    <row r="904">
      <c r="B904" s="28"/>
      <c r="C904" s="28"/>
      <c r="D904" s="28"/>
      <c r="E904" s="28"/>
      <c r="F904" s="28"/>
    </row>
    <row r="905">
      <c r="B905" s="28"/>
      <c r="C905" s="28"/>
      <c r="D905" s="28"/>
      <c r="E905" s="28"/>
      <c r="F905" s="28"/>
    </row>
    <row r="906">
      <c r="B906" s="28"/>
      <c r="C906" s="28"/>
      <c r="D906" s="28"/>
      <c r="E906" s="28"/>
      <c r="F906" s="28"/>
    </row>
    <row r="907">
      <c r="B907" s="28"/>
      <c r="C907" s="28"/>
      <c r="D907" s="28"/>
      <c r="E907" s="28"/>
      <c r="F907" s="28"/>
    </row>
    <row r="908">
      <c r="B908" s="28"/>
      <c r="C908" s="28"/>
      <c r="D908" s="28"/>
      <c r="E908" s="28"/>
      <c r="F908" s="28"/>
    </row>
    <row r="909">
      <c r="B909" s="28"/>
      <c r="C909" s="28"/>
      <c r="D909" s="28"/>
      <c r="E909" s="28"/>
      <c r="F909" s="28"/>
    </row>
    <row r="910">
      <c r="B910" s="28"/>
      <c r="C910" s="28"/>
      <c r="D910" s="28"/>
      <c r="E910" s="28"/>
      <c r="F910" s="28"/>
    </row>
    <row r="911">
      <c r="B911" s="28"/>
      <c r="C911" s="28"/>
      <c r="D911" s="28"/>
      <c r="E911" s="28"/>
      <c r="F911" s="28"/>
    </row>
    <row r="912">
      <c r="B912" s="28"/>
      <c r="C912" s="28"/>
      <c r="D912" s="28"/>
      <c r="E912" s="28"/>
      <c r="F912" s="28"/>
    </row>
    <row r="913">
      <c r="B913" s="28"/>
      <c r="C913" s="28"/>
      <c r="D913" s="28"/>
      <c r="E913" s="28"/>
      <c r="F913" s="28"/>
    </row>
    <row r="914">
      <c r="B914" s="28"/>
      <c r="C914" s="28"/>
      <c r="D914" s="28"/>
      <c r="E914" s="28"/>
      <c r="F914" s="28"/>
    </row>
    <row r="915">
      <c r="B915" s="28"/>
      <c r="C915" s="28"/>
      <c r="D915" s="28"/>
      <c r="E915" s="28"/>
      <c r="F915" s="28"/>
    </row>
    <row r="916">
      <c r="B916" s="28"/>
      <c r="C916" s="28"/>
      <c r="D916" s="28"/>
      <c r="E916" s="28"/>
      <c r="F916" s="28"/>
    </row>
    <row r="917">
      <c r="B917" s="28"/>
      <c r="C917" s="28"/>
      <c r="D917" s="28"/>
      <c r="E917" s="28"/>
      <c r="F917" s="28"/>
    </row>
    <row r="918">
      <c r="B918" s="28"/>
      <c r="C918" s="28"/>
      <c r="D918" s="28"/>
      <c r="E918" s="28"/>
      <c r="F918" s="28"/>
    </row>
    <row r="919">
      <c r="B919" s="28"/>
      <c r="C919" s="28"/>
      <c r="D919" s="28"/>
      <c r="E919" s="28"/>
      <c r="F919" s="28"/>
    </row>
    <row r="920">
      <c r="B920" s="28"/>
      <c r="C920" s="28"/>
      <c r="D920" s="28"/>
      <c r="E920" s="28"/>
      <c r="F920" s="28"/>
    </row>
    <row r="921">
      <c r="B921" s="28"/>
      <c r="C921" s="28"/>
      <c r="D921" s="28"/>
      <c r="E921" s="28"/>
      <c r="F921" s="28"/>
    </row>
    <row r="922">
      <c r="B922" s="28"/>
      <c r="C922" s="28"/>
      <c r="D922" s="28"/>
      <c r="E922" s="28"/>
      <c r="F922" s="28"/>
    </row>
    <row r="923">
      <c r="B923" s="28"/>
      <c r="C923" s="28"/>
      <c r="D923" s="28"/>
      <c r="E923" s="28"/>
      <c r="F923" s="28"/>
    </row>
    <row r="924">
      <c r="B924" s="28"/>
      <c r="C924" s="28"/>
      <c r="D924" s="28"/>
      <c r="E924" s="28"/>
      <c r="F924" s="28"/>
    </row>
    <row r="925">
      <c r="B925" s="28"/>
      <c r="C925" s="28"/>
      <c r="D925" s="28"/>
      <c r="E925" s="28"/>
      <c r="F925" s="28"/>
    </row>
    <row r="926">
      <c r="B926" s="28"/>
      <c r="C926" s="28"/>
      <c r="D926" s="28"/>
      <c r="E926" s="28"/>
      <c r="F926" s="28"/>
    </row>
    <row r="927">
      <c r="B927" s="28"/>
      <c r="C927" s="28"/>
      <c r="D927" s="28"/>
      <c r="E927" s="28"/>
      <c r="F927" s="28"/>
    </row>
    <row r="928">
      <c r="B928" s="28"/>
      <c r="C928" s="28"/>
      <c r="D928" s="28"/>
      <c r="E928" s="28"/>
      <c r="F928" s="28"/>
    </row>
    <row r="929">
      <c r="B929" s="28"/>
      <c r="C929" s="28"/>
      <c r="D929" s="28"/>
      <c r="E929" s="28"/>
      <c r="F929" s="28"/>
    </row>
    <row r="930">
      <c r="B930" s="28"/>
      <c r="C930" s="28"/>
      <c r="D930" s="28"/>
      <c r="E930" s="28"/>
      <c r="F930" s="28"/>
    </row>
    <row r="931">
      <c r="B931" s="28"/>
      <c r="C931" s="28"/>
      <c r="D931" s="28"/>
      <c r="E931" s="28"/>
      <c r="F931" s="28"/>
    </row>
    <row r="932">
      <c r="B932" s="28"/>
      <c r="C932" s="28"/>
      <c r="D932" s="28"/>
      <c r="E932" s="28"/>
      <c r="F932" s="28"/>
    </row>
    <row r="933">
      <c r="B933" s="28"/>
      <c r="C933" s="28"/>
      <c r="D933" s="28"/>
      <c r="E933" s="28"/>
      <c r="F933" s="28"/>
    </row>
    <row r="934">
      <c r="B934" s="28"/>
      <c r="C934" s="28"/>
      <c r="D934" s="28"/>
      <c r="E934" s="28"/>
      <c r="F934" s="28"/>
    </row>
    <row r="935">
      <c r="B935" s="28"/>
      <c r="C935" s="28"/>
      <c r="D935" s="28"/>
      <c r="E935" s="28"/>
      <c r="F935" s="28"/>
    </row>
    <row r="936">
      <c r="B936" s="28"/>
      <c r="C936" s="28"/>
      <c r="D936" s="28"/>
      <c r="E936" s="28"/>
      <c r="F936" s="28"/>
    </row>
    <row r="937">
      <c r="B937" s="28"/>
      <c r="C937" s="28"/>
      <c r="D937" s="28"/>
      <c r="E937" s="28"/>
      <c r="F937" s="28"/>
    </row>
    <row r="938">
      <c r="B938" s="28"/>
      <c r="C938" s="28"/>
      <c r="D938" s="28"/>
      <c r="E938" s="28"/>
      <c r="F938" s="28"/>
    </row>
    <row r="939">
      <c r="B939" s="28"/>
      <c r="C939" s="28"/>
      <c r="D939" s="28"/>
      <c r="E939" s="28"/>
      <c r="F939" s="28"/>
    </row>
    <row r="940">
      <c r="B940" s="28"/>
      <c r="C940" s="28"/>
      <c r="D940" s="28"/>
      <c r="E940" s="28"/>
      <c r="F940" s="28"/>
    </row>
    <row r="941">
      <c r="B941" s="28"/>
      <c r="C941" s="28"/>
      <c r="D941" s="28"/>
      <c r="E941" s="28"/>
      <c r="F941" s="28"/>
    </row>
    <row r="942">
      <c r="B942" s="28"/>
      <c r="C942" s="28"/>
      <c r="D942" s="28"/>
      <c r="E942" s="28"/>
      <c r="F942" s="28"/>
    </row>
    <row r="943">
      <c r="B943" s="28"/>
      <c r="C943" s="28"/>
      <c r="D943" s="28"/>
      <c r="E943" s="28"/>
      <c r="F943" s="28"/>
    </row>
    <row r="944">
      <c r="B944" s="28"/>
      <c r="C944" s="28"/>
      <c r="D944" s="28"/>
      <c r="E944" s="28"/>
      <c r="F944" s="28"/>
    </row>
    <row r="945">
      <c r="B945" s="28"/>
      <c r="C945" s="28"/>
      <c r="D945" s="28"/>
      <c r="E945" s="28"/>
      <c r="F945" s="28"/>
    </row>
    <row r="946">
      <c r="B946" s="28"/>
      <c r="C946" s="28"/>
      <c r="D946" s="28"/>
      <c r="E946" s="28"/>
      <c r="F946" s="28"/>
    </row>
    <row r="947">
      <c r="B947" s="28"/>
      <c r="C947" s="28"/>
      <c r="D947" s="28"/>
      <c r="E947" s="28"/>
      <c r="F947" s="28"/>
    </row>
    <row r="948">
      <c r="B948" s="28"/>
      <c r="C948" s="28"/>
      <c r="D948" s="28"/>
      <c r="E948" s="28"/>
      <c r="F948" s="28"/>
    </row>
    <row r="949">
      <c r="B949" s="28"/>
      <c r="C949" s="28"/>
      <c r="D949" s="28"/>
      <c r="E949" s="28"/>
      <c r="F949" s="28"/>
    </row>
    <row r="950">
      <c r="B950" s="28"/>
      <c r="C950" s="28"/>
      <c r="D950" s="28"/>
      <c r="E950" s="28"/>
      <c r="F950" s="28"/>
    </row>
    <row r="951">
      <c r="B951" s="28"/>
      <c r="C951" s="28"/>
      <c r="D951" s="28"/>
      <c r="E951" s="28"/>
      <c r="F951" s="28"/>
    </row>
    <row r="952">
      <c r="B952" s="28"/>
      <c r="C952" s="28"/>
      <c r="D952" s="28"/>
      <c r="E952" s="28"/>
      <c r="F952" s="28"/>
    </row>
    <row r="953">
      <c r="B953" s="28"/>
      <c r="C953" s="28"/>
      <c r="D953" s="28"/>
      <c r="E953" s="28"/>
      <c r="F953" s="28"/>
    </row>
    <row r="954">
      <c r="B954" s="28"/>
      <c r="C954" s="28"/>
      <c r="D954" s="28"/>
      <c r="E954" s="28"/>
      <c r="F954" s="28"/>
    </row>
    <row r="955">
      <c r="B955" s="28"/>
      <c r="C955" s="28"/>
      <c r="D955" s="28"/>
      <c r="E955" s="28"/>
      <c r="F955" s="28"/>
    </row>
    <row r="956">
      <c r="B956" s="28"/>
      <c r="C956" s="28"/>
      <c r="D956" s="28"/>
      <c r="E956" s="28"/>
      <c r="F956" s="28"/>
    </row>
    <row r="957">
      <c r="B957" s="28"/>
      <c r="C957" s="28"/>
      <c r="D957" s="28"/>
      <c r="E957" s="28"/>
      <c r="F957" s="28"/>
    </row>
    <row r="958">
      <c r="B958" s="28"/>
      <c r="C958" s="28"/>
      <c r="D958" s="28"/>
      <c r="E958" s="28"/>
      <c r="F958" s="28"/>
    </row>
    <row r="959">
      <c r="B959" s="28"/>
      <c r="C959" s="28"/>
      <c r="D959" s="28"/>
      <c r="E959" s="28"/>
      <c r="F959" s="28"/>
    </row>
    <row r="960">
      <c r="B960" s="28"/>
      <c r="C960" s="28"/>
      <c r="D960" s="28"/>
      <c r="E960" s="28"/>
      <c r="F960" s="28"/>
    </row>
    <row r="961">
      <c r="B961" s="28"/>
      <c r="C961" s="28"/>
      <c r="D961" s="28"/>
      <c r="E961" s="28"/>
      <c r="F961" s="28"/>
    </row>
    <row r="962">
      <c r="B962" s="28"/>
      <c r="C962" s="28"/>
      <c r="D962" s="28"/>
      <c r="E962" s="28"/>
      <c r="F962" s="28"/>
    </row>
    <row r="963">
      <c r="B963" s="28"/>
      <c r="C963" s="28"/>
      <c r="D963" s="28"/>
      <c r="E963" s="28"/>
      <c r="F963" s="28"/>
    </row>
    <row r="964">
      <c r="B964" s="28"/>
      <c r="C964" s="28"/>
      <c r="D964" s="28"/>
      <c r="E964" s="28"/>
      <c r="F964" s="28"/>
    </row>
    <row r="965">
      <c r="B965" s="28"/>
      <c r="C965" s="28"/>
      <c r="D965" s="28"/>
      <c r="E965" s="28"/>
      <c r="F965" s="28"/>
    </row>
    <row r="966">
      <c r="B966" s="28"/>
      <c r="C966" s="28"/>
      <c r="D966" s="28"/>
      <c r="E966" s="28"/>
      <c r="F966" s="28"/>
    </row>
    <row r="967">
      <c r="B967" s="28"/>
      <c r="C967" s="28"/>
      <c r="D967" s="28"/>
      <c r="E967" s="28"/>
      <c r="F967" s="28"/>
    </row>
    <row r="968">
      <c r="B968" s="28"/>
      <c r="C968" s="28"/>
      <c r="D968" s="28"/>
      <c r="E968" s="28"/>
      <c r="F968" s="28"/>
    </row>
    <row r="969">
      <c r="B969" s="28"/>
      <c r="C969" s="28"/>
      <c r="D969" s="28"/>
      <c r="E969" s="28"/>
      <c r="F969" s="28"/>
    </row>
    <row r="970">
      <c r="B970" s="28"/>
      <c r="C970" s="28"/>
      <c r="D970" s="28"/>
      <c r="E970" s="28"/>
      <c r="F970" s="28"/>
    </row>
    <row r="971">
      <c r="B971" s="28"/>
      <c r="C971" s="28"/>
      <c r="D971" s="28"/>
      <c r="E971" s="28"/>
      <c r="F971" s="28"/>
    </row>
    <row r="972">
      <c r="B972" s="28"/>
      <c r="C972" s="28"/>
      <c r="D972" s="28"/>
      <c r="E972" s="28"/>
      <c r="F972" s="28"/>
    </row>
    <row r="973">
      <c r="B973" s="28"/>
      <c r="C973" s="28"/>
      <c r="D973" s="28"/>
      <c r="E973" s="28"/>
      <c r="F973" s="28"/>
    </row>
    <row r="974">
      <c r="B974" s="28"/>
      <c r="C974" s="28"/>
      <c r="D974" s="28"/>
      <c r="E974" s="28"/>
      <c r="F974" s="28"/>
    </row>
    <row r="975">
      <c r="B975" s="28"/>
      <c r="C975" s="28"/>
      <c r="D975" s="28"/>
      <c r="E975" s="28"/>
      <c r="F975" s="28"/>
    </row>
    <row r="976">
      <c r="B976" s="28"/>
      <c r="C976" s="28"/>
      <c r="D976" s="28"/>
      <c r="E976" s="28"/>
      <c r="F976" s="28"/>
    </row>
    <row r="977">
      <c r="B977" s="28"/>
      <c r="C977" s="28"/>
      <c r="D977" s="28"/>
      <c r="E977" s="28"/>
      <c r="F977" s="28"/>
    </row>
    <row r="978">
      <c r="B978" s="28"/>
      <c r="C978" s="28"/>
      <c r="D978" s="28"/>
      <c r="E978" s="28"/>
      <c r="F978" s="28"/>
    </row>
    <row r="979">
      <c r="B979" s="28"/>
      <c r="C979" s="28"/>
      <c r="D979" s="28"/>
      <c r="E979" s="28"/>
      <c r="F979" s="28"/>
    </row>
    <row r="980">
      <c r="B980" s="28"/>
      <c r="C980" s="28"/>
      <c r="D980" s="28"/>
      <c r="E980" s="28"/>
      <c r="F980" s="28"/>
    </row>
    <row r="981">
      <c r="B981" s="28"/>
      <c r="C981" s="28"/>
      <c r="D981" s="28"/>
      <c r="E981" s="28"/>
      <c r="F981" s="28"/>
    </row>
    <row r="982">
      <c r="B982" s="28"/>
      <c r="C982" s="28"/>
      <c r="D982" s="28"/>
      <c r="E982" s="28"/>
      <c r="F982" s="28"/>
    </row>
    <row r="983">
      <c r="B983" s="28"/>
      <c r="C983" s="28"/>
      <c r="D983" s="28"/>
      <c r="E983" s="28"/>
      <c r="F983" s="28"/>
    </row>
    <row r="984">
      <c r="B984" s="28"/>
      <c r="C984" s="28"/>
      <c r="D984" s="28"/>
      <c r="E984" s="28"/>
      <c r="F984" s="28"/>
    </row>
    <row r="985">
      <c r="B985" s="28"/>
      <c r="C985" s="28"/>
      <c r="D985" s="28"/>
      <c r="E985" s="28"/>
      <c r="F985" s="28"/>
    </row>
    <row r="986">
      <c r="B986" s="28"/>
      <c r="C986" s="28"/>
      <c r="D986" s="28"/>
      <c r="E986" s="28"/>
      <c r="F986" s="28"/>
    </row>
    <row r="987">
      <c r="B987" s="28"/>
      <c r="C987" s="28"/>
      <c r="D987" s="28"/>
      <c r="E987" s="28"/>
      <c r="F987" s="28"/>
    </row>
    <row r="988">
      <c r="B988" s="28"/>
      <c r="C988" s="28"/>
      <c r="D988" s="28"/>
      <c r="E988" s="28"/>
      <c r="F988" s="28"/>
    </row>
    <row r="989">
      <c r="B989" s="28"/>
      <c r="C989" s="28"/>
      <c r="D989" s="28"/>
      <c r="E989" s="28"/>
      <c r="F989" s="28"/>
    </row>
    <row r="990">
      <c r="B990" s="28"/>
      <c r="C990" s="28"/>
      <c r="D990" s="28"/>
      <c r="E990" s="28"/>
      <c r="F990" s="28"/>
    </row>
    <row r="991">
      <c r="B991" s="28"/>
      <c r="C991" s="28"/>
      <c r="D991" s="28"/>
      <c r="E991" s="28"/>
      <c r="F991" s="28"/>
    </row>
    <row r="992">
      <c r="B992" s="28"/>
      <c r="C992" s="28"/>
      <c r="D992" s="28"/>
      <c r="E992" s="28"/>
      <c r="F992" s="28"/>
    </row>
    <row r="993">
      <c r="B993" s="28"/>
      <c r="C993" s="28"/>
      <c r="D993" s="28"/>
      <c r="E993" s="28"/>
      <c r="F993" s="28"/>
    </row>
    <row r="994">
      <c r="B994" s="28"/>
      <c r="C994" s="28"/>
      <c r="D994" s="28"/>
      <c r="E994" s="28"/>
      <c r="F994" s="28"/>
    </row>
    <row r="995">
      <c r="B995" s="28"/>
      <c r="C995" s="28"/>
      <c r="D995" s="28"/>
      <c r="E995" s="28"/>
      <c r="F995" s="28"/>
    </row>
    <row r="996">
      <c r="B996" s="28"/>
      <c r="C996" s="28"/>
      <c r="D996" s="28"/>
      <c r="E996" s="28"/>
      <c r="F996" s="28"/>
    </row>
    <row r="997">
      <c r="B997" s="28"/>
      <c r="C997" s="28"/>
      <c r="D997" s="28"/>
      <c r="E997" s="28"/>
      <c r="F997" s="28"/>
    </row>
    <row r="998">
      <c r="B998" s="28"/>
      <c r="C998" s="28"/>
      <c r="D998" s="28"/>
      <c r="E998" s="28"/>
      <c r="F998" s="28"/>
    </row>
    <row r="999">
      <c r="B999" s="28"/>
      <c r="C999" s="28"/>
      <c r="D999" s="28"/>
      <c r="E999" s="28"/>
      <c r="F999" s="28"/>
    </row>
    <row r="1000">
      <c r="B1000" s="28"/>
      <c r="C1000" s="28"/>
      <c r="D1000" s="28"/>
      <c r="E1000" s="28"/>
      <c r="F1000" s="28"/>
    </row>
    <row r="1001">
      <c r="B1001" s="28"/>
      <c r="C1001" s="28"/>
      <c r="D1001" s="28"/>
      <c r="E1001" s="28"/>
      <c r="F1001" s="28"/>
    </row>
    <row r="1002">
      <c r="B1002" s="28"/>
      <c r="C1002" s="28"/>
      <c r="D1002" s="28"/>
      <c r="E1002" s="28"/>
      <c r="F1002" s="28"/>
    </row>
  </sheetData>
  <mergeCells count="4">
    <mergeCell ref="A1:F1"/>
    <mergeCell ref="A2:A3"/>
    <mergeCell ref="B2:E2"/>
    <mergeCell ref="F2:F3"/>
  </mergeCells>
  <hyperlinks>
    <hyperlink r:id="rId1" ref="F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29"/>
    <col customWidth="1" min="3" max="3" width="10.71"/>
    <col customWidth="1" min="4" max="4" width="72.86"/>
  </cols>
  <sheetData>
    <row r="1">
      <c r="A1" s="1" t="s">
        <v>849</v>
      </c>
      <c r="B1" s="2"/>
      <c r="C1" s="2"/>
      <c r="D1" s="3"/>
    </row>
    <row r="2">
      <c r="A2" s="8" t="s">
        <v>2</v>
      </c>
      <c r="B2" s="8" t="s">
        <v>1</v>
      </c>
      <c r="C2" s="8" t="s">
        <v>747</v>
      </c>
      <c r="D2" s="8" t="s">
        <v>850</v>
      </c>
    </row>
    <row r="3">
      <c r="A3" s="83">
        <v>40.0</v>
      </c>
      <c r="B3" s="101" t="s">
        <v>851</v>
      </c>
      <c r="C3" s="83">
        <v>3.0</v>
      </c>
      <c r="D3" s="74" t="s">
        <v>852</v>
      </c>
    </row>
    <row r="4">
      <c r="A4" s="86"/>
      <c r="B4" s="86"/>
      <c r="C4" s="86"/>
      <c r="D4" s="74" t="s">
        <v>853</v>
      </c>
    </row>
    <row r="5">
      <c r="A5" s="86"/>
      <c r="B5" s="7"/>
      <c r="C5" s="7"/>
      <c r="D5" s="74" t="s">
        <v>854</v>
      </c>
    </row>
    <row r="6">
      <c r="A6" s="86"/>
      <c r="B6" s="101" t="s">
        <v>855</v>
      </c>
      <c r="C6" s="83">
        <v>3.0</v>
      </c>
      <c r="D6" s="74" t="s">
        <v>856</v>
      </c>
    </row>
    <row r="7">
      <c r="A7" s="86"/>
      <c r="B7" s="86"/>
      <c r="C7" s="86"/>
      <c r="D7" s="74" t="s">
        <v>857</v>
      </c>
    </row>
    <row r="8">
      <c r="A8" s="86"/>
      <c r="B8" s="7"/>
      <c r="C8" s="7"/>
      <c r="D8" s="74" t="s">
        <v>858</v>
      </c>
    </row>
    <row r="9">
      <c r="A9" s="86"/>
      <c r="B9" s="101" t="s">
        <v>859</v>
      </c>
      <c r="C9" s="83">
        <v>2.0</v>
      </c>
      <c r="D9" s="74" t="s">
        <v>860</v>
      </c>
    </row>
    <row r="10">
      <c r="A10" s="86"/>
      <c r="B10" s="7"/>
      <c r="C10" s="7"/>
      <c r="D10" s="74" t="s">
        <v>861</v>
      </c>
    </row>
    <row r="11">
      <c r="A11" s="86"/>
      <c r="B11" s="136" t="s">
        <v>862</v>
      </c>
      <c r="C11" s="121">
        <v>1.0</v>
      </c>
      <c r="D11" s="74" t="s">
        <v>863</v>
      </c>
    </row>
    <row r="12">
      <c r="A12" s="86"/>
      <c r="B12" s="136" t="s">
        <v>864</v>
      </c>
      <c r="C12" s="121">
        <v>1.0</v>
      </c>
      <c r="D12" s="74" t="s">
        <v>865</v>
      </c>
    </row>
    <row r="13">
      <c r="A13" s="86"/>
      <c r="B13" s="136" t="s">
        <v>866</v>
      </c>
      <c r="C13" s="121">
        <v>1.0</v>
      </c>
      <c r="D13" s="74" t="s">
        <v>867</v>
      </c>
    </row>
    <row r="14">
      <c r="A14" s="86"/>
      <c r="B14" s="136" t="s">
        <v>868</v>
      </c>
      <c r="C14" s="121">
        <v>1.0</v>
      </c>
      <c r="D14" s="74" t="s">
        <v>869</v>
      </c>
    </row>
    <row r="15">
      <c r="A15" s="86"/>
      <c r="B15" s="136" t="s">
        <v>870</v>
      </c>
      <c r="C15" s="121">
        <v>1.0</v>
      </c>
      <c r="D15" s="74" t="s">
        <v>871</v>
      </c>
    </row>
    <row r="16">
      <c r="A16" s="86"/>
      <c r="B16" s="136" t="s">
        <v>872</v>
      </c>
      <c r="C16" s="121">
        <v>1.0</v>
      </c>
      <c r="D16" s="74" t="s">
        <v>873</v>
      </c>
    </row>
    <row r="17">
      <c r="A17" s="86"/>
      <c r="B17" s="136" t="s">
        <v>874</v>
      </c>
      <c r="C17" s="121">
        <v>1.0</v>
      </c>
      <c r="D17" s="74" t="s">
        <v>875</v>
      </c>
    </row>
    <row r="18" hidden="1">
      <c r="A18" s="83">
        <v>39.0</v>
      </c>
      <c r="B18" s="136" t="s">
        <v>866</v>
      </c>
      <c r="C18" s="121">
        <v>1.0</v>
      </c>
      <c r="D18" s="74" t="s">
        <v>876</v>
      </c>
    </row>
    <row r="19" hidden="1">
      <c r="A19" s="83"/>
      <c r="B19" s="136"/>
      <c r="C19" s="121"/>
      <c r="D19" s="74"/>
    </row>
    <row r="20" hidden="1">
      <c r="A20" s="83"/>
      <c r="B20" s="136"/>
      <c r="C20" s="121"/>
      <c r="D20" s="74"/>
    </row>
    <row r="21" hidden="1">
      <c r="A21" s="83"/>
      <c r="B21" s="136"/>
      <c r="C21" s="121"/>
      <c r="D21" s="74"/>
    </row>
    <row r="22" hidden="1">
      <c r="A22" s="83"/>
      <c r="B22" s="136"/>
      <c r="C22" s="121"/>
      <c r="D22" s="74"/>
    </row>
    <row r="23" hidden="1">
      <c r="A23" s="83"/>
      <c r="B23" s="136"/>
      <c r="C23" s="121"/>
      <c r="D23" s="74"/>
    </row>
    <row r="24" hidden="1">
      <c r="A24" s="83"/>
      <c r="B24" s="136"/>
      <c r="C24" s="121"/>
      <c r="D24" s="74"/>
    </row>
    <row r="25" hidden="1">
      <c r="A25" s="83"/>
      <c r="B25" s="136"/>
      <c r="C25" s="121"/>
      <c r="D25" s="74"/>
    </row>
    <row r="26" hidden="1">
      <c r="A26" s="83"/>
      <c r="B26" s="136"/>
      <c r="C26" s="121"/>
      <c r="D26" s="74"/>
    </row>
    <row r="27" hidden="1">
      <c r="A27" s="83"/>
      <c r="B27" s="136"/>
      <c r="C27" s="121"/>
      <c r="D27" s="74"/>
    </row>
    <row r="28" hidden="1">
      <c r="A28" s="83"/>
      <c r="B28" s="136"/>
      <c r="C28" s="121"/>
      <c r="D28" s="74"/>
    </row>
    <row r="29" hidden="1">
      <c r="A29" s="83"/>
      <c r="B29" s="136"/>
      <c r="C29" s="121"/>
      <c r="D29" s="74"/>
    </row>
    <row r="30" hidden="1">
      <c r="A30" s="83"/>
      <c r="B30" s="136"/>
      <c r="C30" s="121"/>
      <c r="D30" s="74"/>
    </row>
    <row r="31" hidden="1">
      <c r="A31" s="83"/>
      <c r="B31" s="136"/>
      <c r="C31" s="121"/>
      <c r="D31" s="74"/>
    </row>
    <row r="32" hidden="1">
      <c r="A32" s="83"/>
      <c r="B32" s="136"/>
      <c r="C32" s="121"/>
      <c r="D32" s="74"/>
    </row>
    <row r="33" hidden="1">
      <c r="A33" s="83">
        <v>38.0</v>
      </c>
      <c r="B33" s="136"/>
      <c r="C33" s="121"/>
      <c r="D33" s="74" t="s">
        <v>877</v>
      </c>
    </row>
    <row r="34" hidden="1">
      <c r="A34" s="83"/>
      <c r="B34" s="136"/>
      <c r="C34" s="121"/>
      <c r="D34" s="74"/>
    </row>
    <row r="35" hidden="1">
      <c r="A35" s="83"/>
      <c r="B35" s="136"/>
      <c r="C35" s="121"/>
      <c r="D35" s="74"/>
    </row>
    <row r="36" hidden="1">
      <c r="A36" s="83"/>
      <c r="B36" s="136"/>
      <c r="C36" s="121"/>
      <c r="D36" s="74"/>
    </row>
    <row r="37" hidden="1">
      <c r="A37" s="83"/>
      <c r="B37" s="136"/>
      <c r="C37" s="121"/>
      <c r="D37" s="74"/>
    </row>
    <row r="38" hidden="1">
      <c r="A38" s="83"/>
      <c r="B38" s="136"/>
      <c r="C38" s="121"/>
      <c r="D38" s="74"/>
    </row>
    <row r="39" hidden="1">
      <c r="A39" s="83"/>
      <c r="B39" s="136"/>
      <c r="C39" s="121"/>
      <c r="D39" s="74"/>
    </row>
    <row r="40" hidden="1">
      <c r="A40" s="83"/>
      <c r="B40" s="136"/>
      <c r="C40" s="121"/>
      <c r="D40" s="74"/>
    </row>
    <row r="41" hidden="1">
      <c r="A41" s="83"/>
      <c r="B41" s="136"/>
      <c r="C41" s="121"/>
      <c r="D41" s="74"/>
    </row>
    <row r="42" hidden="1">
      <c r="A42" s="83"/>
      <c r="B42" s="136"/>
      <c r="C42" s="121"/>
      <c r="D42" s="74"/>
    </row>
    <row r="43" hidden="1">
      <c r="A43" s="83"/>
      <c r="B43" s="136"/>
      <c r="C43" s="121"/>
      <c r="D43" s="74"/>
    </row>
    <row r="44" hidden="1">
      <c r="A44" s="83"/>
      <c r="B44" s="136"/>
      <c r="C44" s="121"/>
      <c r="D44" s="74"/>
    </row>
    <row r="45" hidden="1">
      <c r="A45" s="83"/>
      <c r="B45" s="136"/>
      <c r="C45" s="121"/>
      <c r="D45" s="74"/>
    </row>
    <row r="46" hidden="1">
      <c r="A46" s="83"/>
      <c r="B46" s="136"/>
      <c r="C46" s="121"/>
      <c r="D46" s="74"/>
    </row>
    <row r="47" hidden="1">
      <c r="A47" s="83"/>
      <c r="B47" s="136"/>
      <c r="C47" s="121"/>
      <c r="D47" s="74"/>
    </row>
    <row r="48" hidden="1">
      <c r="A48" s="83">
        <v>37.0</v>
      </c>
      <c r="B48" s="136" t="s">
        <v>878</v>
      </c>
      <c r="C48" s="121">
        <v>1.0</v>
      </c>
      <c r="D48" s="74" t="s">
        <v>879</v>
      </c>
    </row>
    <row r="49" hidden="1">
      <c r="A49" s="83"/>
      <c r="B49" s="136"/>
      <c r="C49" s="121"/>
      <c r="D49" s="74"/>
    </row>
    <row r="50" hidden="1">
      <c r="A50" s="83"/>
      <c r="B50" s="136"/>
      <c r="C50" s="121"/>
      <c r="D50" s="74"/>
    </row>
    <row r="51" hidden="1">
      <c r="A51" s="83"/>
      <c r="B51" s="136"/>
      <c r="C51" s="121"/>
      <c r="D51" s="74"/>
    </row>
    <row r="52" hidden="1">
      <c r="A52" s="83"/>
      <c r="B52" s="136"/>
      <c r="C52" s="121"/>
      <c r="D52" s="74"/>
    </row>
    <row r="53" hidden="1">
      <c r="A53" s="83"/>
      <c r="B53" s="136"/>
      <c r="C53" s="121"/>
      <c r="D53" s="74"/>
    </row>
    <row r="54" hidden="1">
      <c r="A54" s="83"/>
      <c r="B54" s="136"/>
      <c r="C54" s="121"/>
      <c r="D54" s="74"/>
    </row>
    <row r="55" hidden="1">
      <c r="A55" s="83"/>
      <c r="B55" s="136"/>
      <c r="C55" s="121"/>
      <c r="D55" s="74"/>
    </row>
    <row r="56" hidden="1">
      <c r="A56" s="83"/>
      <c r="B56" s="136"/>
      <c r="C56" s="121"/>
      <c r="D56" s="74"/>
    </row>
    <row r="57" hidden="1">
      <c r="A57" s="83"/>
      <c r="B57" s="136"/>
      <c r="C57" s="121"/>
      <c r="D57" s="74"/>
    </row>
    <row r="58" hidden="1">
      <c r="A58" s="83"/>
      <c r="B58" s="136"/>
      <c r="C58" s="121"/>
      <c r="D58" s="74"/>
    </row>
    <row r="59" hidden="1">
      <c r="A59" s="83"/>
      <c r="B59" s="136"/>
      <c r="C59" s="121"/>
      <c r="D59" s="74"/>
    </row>
    <row r="60" hidden="1">
      <c r="A60" s="83"/>
      <c r="B60" s="136"/>
      <c r="C60" s="121"/>
      <c r="D60" s="74"/>
    </row>
    <row r="61" hidden="1">
      <c r="A61" s="83"/>
      <c r="B61" s="136"/>
      <c r="C61" s="121"/>
      <c r="D61" s="74"/>
    </row>
    <row r="62" hidden="1">
      <c r="A62" s="83"/>
      <c r="B62" s="136"/>
      <c r="C62" s="121"/>
      <c r="D62" s="74"/>
    </row>
    <row r="63">
      <c r="A63" s="83">
        <v>36.0</v>
      </c>
      <c r="B63" s="101" t="s">
        <v>880</v>
      </c>
      <c r="C63" s="83">
        <v>6.0</v>
      </c>
      <c r="D63" s="74" t="s">
        <v>881</v>
      </c>
    </row>
    <row r="64">
      <c r="A64" s="86"/>
      <c r="B64" s="86"/>
      <c r="C64" s="86"/>
      <c r="D64" s="74" t="s">
        <v>882</v>
      </c>
    </row>
    <row r="65">
      <c r="A65" s="86"/>
      <c r="B65" s="86"/>
      <c r="C65" s="86"/>
      <c r="D65" s="74" t="s">
        <v>883</v>
      </c>
    </row>
    <row r="66">
      <c r="A66" s="86"/>
      <c r="B66" s="86"/>
      <c r="C66" s="86"/>
      <c r="D66" s="74" t="s">
        <v>884</v>
      </c>
    </row>
    <row r="67">
      <c r="A67" s="86"/>
      <c r="B67" s="86"/>
      <c r="C67" s="86"/>
      <c r="D67" s="74" t="s">
        <v>885</v>
      </c>
    </row>
    <row r="68">
      <c r="A68" s="86"/>
      <c r="B68" s="7"/>
      <c r="C68" s="7"/>
      <c r="D68" s="74" t="s">
        <v>886</v>
      </c>
    </row>
    <row r="69">
      <c r="A69" s="86"/>
      <c r="B69" s="101" t="s">
        <v>887</v>
      </c>
      <c r="C69" s="83">
        <v>2.0</v>
      </c>
      <c r="D69" s="74" t="s">
        <v>888</v>
      </c>
    </row>
    <row r="70">
      <c r="A70" s="86"/>
      <c r="B70" s="7"/>
      <c r="C70" s="7"/>
      <c r="D70" s="74" t="s">
        <v>889</v>
      </c>
    </row>
    <row r="71">
      <c r="A71" s="86"/>
      <c r="B71" s="136" t="s">
        <v>890</v>
      </c>
      <c r="C71" s="121">
        <v>1.0</v>
      </c>
      <c r="D71" s="74" t="s">
        <v>891</v>
      </c>
    </row>
    <row r="72">
      <c r="A72" s="86"/>
      <c r="B72" s="136" t="s">
        <v>892</v>
      </c>
      <c r="C72" s="121">
        <v>1.0</v>
      </c>
      <c r="D72" s="74" t="s">
        <v>893</v>
      </c>
    </row>
    <row r="73">
      <c r="A73" s="86"/>
      <c r="B73" s="136" t="s">
        <v>894</v>
      </c>
      <c r="C73" s="121">
        <v>1.0</v>
      </c>
      <c r="D73" s="74" t="s">
        <v>895</v>
      </c>
    </row>
    <row r="74">
      <c r="A74" s="86"/>
      <c r="B74" s="136" t="s">
        <v>896</v>
      </c>
      <c r="C74" s="121">
        <v>1.0</v>
      </c>
      <c r="D74" s="74" t="s">
        <v>897</v>
      </c>
    </row>
    <row r="75">
      <c r="A75" s="86"/>
      <c r="B75" s="136" t="s">
        <v>872</v>
      </c>
      <c r="C75" s="121">
        <v>1.0</v>
      </c>
      <c r="D75" s="74" t="s">
        <v>898</v>
      </c>
    </row>
    <row r="76">
      <c r="A76" s="86"/>
      <c r="B76" s="136" t="s">
        <v>899</v>
      </c>
      <c r="C76" s="121">
        <v>1.0</v>
      </c>
      <c r="D76" s="74" t="s">
        <v>900</v>
      </c>
    </row>
    <row r="77">
      <c r="A77" s="83">
        <v>35.0</v>
      </c>
      <c r="B77" s="101" t="s">
        <v>851</v>
      </c>
      <c r="C77" s="83">
        <v>4.0</v>
      </c>
      <c r="D77" s="74" t="s">
        <v>901</v>
      </c>
    </row>
    <row r="78">
      <c r="A78" s="86"/>
      <c r="B78" s="86"/>
      <c r="C78" s="86"/>
      <c r="D78" s="74" t="s">
        <v>902</v>
      </c>
    </row>
    <row r="79">
      <c r="A79" s="86"/>
      <c r="B79" s="86"/>
      <c r="C79" s="86"/>
      <c r="D79" s="74" t="s">
        <v>903</v>
      </c>
    </row>
    <row r="80">
      <c r="A80" s="86"/>
      <c r="B80" s="7"/>
      <c r="C80" s="7"/>
      <c r="D80" s="74" t="s">
        <v>904</v>
      </c>
    </row>
    <row r="81">
      <c r="A81" s="86"/>
      <c r="B81" s="101" t="s">
        <v>905</v>
      </c>
      <c r="C81" s="83">
        <v>2.0</v>
      </c>
      <c r="D81" s="74" t="s">
        <v>906</v>
      </c>
    </row>
    <row r="82">
      <c r="A82" s="86"/>
      <c r="B82" s="7"/>
      <c r="C82" s="7"/>
      <c r="D82" s="74" t="s">
        <v>907</v>
      </c>
    </row>
    <row r="83">
      <c r="A83" s="86"/>
      <c r="B83" s="101" t="s">
        <v>908</v>
      </c>
      <c r="C83" s="83">
        <v>2.0</v>
      </c>
      <c r="D83" s="74" t="s">
        <v>909</v>
      </c>
    </row>
    <row r="84">
      <c r="A84" s="86"/>
      <c r="B84" s="7"/>
      <c r="C84" s="7"/>
      <c r="D84" s="74" t="s">
        <v>910</v>
      </c>
    </row>
    <row r="85">
      <c r="A85" s="86"/>
      <c r="B85" s="101" t="s">
        <v>911</v>
      </c>
      <c r="C85" s="83">
        <v>2.0</v>
      </c>
      <c r="D85" s="74" t="s">
        <v>912</v>
      </c>
    </row>
    <row r="86">
      <c r="A86" s="86"/>
      <c r="B86" s="7"/>
      <c r="C86" s="7"/>
      <c r="D86" s="172" t="s">
        <v>913</v>
      </c>
    </row>
    <row r="87">
      <c r="A87" s="86"/>
      <c r="B87" s="136" t="s">
        <v>914</v>
      </c>
      <c r="C87" s="121">
        <v>1.0</v>
      </c>
      <c r="D87" s="74" t="s">
        <v>915</v>
      </c>
    </row>
    <row r="88">
      <c r="A88" s="86"/>
      <c r="B88" s="136" t="s">
        <v>916</v>
      </c>
      <c r="C88" s="121">
        <v>1.0</v>
      </c>
      <c r="D88" s="74" t="s">
        <v>917</v>
      </c>
    </row>
    <row r="89">
      <c r="A89" s="86"/>
      <c r="B89" s="136" t="s">
        <v>918</v>
      </c>
      <c r="C89" s="121">
        <v>1.0</v>
      </c>
      <c r="D89" s="74" t="s">
        <v>919</v>
      </c>
    </row>
    <row r="90">
      <c r="A90" s="86"/>
      <c r="B90" s="136" t="s">
        <v>920</v>
      </c>
      <c r="C90" s="121">
        <v>1.0</v>
      </c>
      <c r="D90" s="74" t="s">
        <v>921</v>
      </c>
    </row>
    <row r="91">
      <c r="A91" s="83">
        <v>34.0</v>
      </c>
      <c r="B91" s="101" t="s">
        <v>922</v>
      </c>
      <c r="C91" s="83">
        <v>3.0</v>
      </c>
      <c r="D91" s="74" t="s">
        <v>923</v>
      </c>
    </row>
    <row r="92">
      <c r="A92" s="86"/>
      <c r="B92" s="86"/>
      <c r="C92" s="86"/>
      <c r="D92" s="74" t="s">
        <v>924</v>
      </c>
    </row>
    <row r="93">
      <c r="A93" s="86"/>
      <c r="B93" s="7"/>
      <c r="C93" s="7"/>
      <c r="D93" s="74" t="s">
        <v>925</v>
      </c>
    </row>
    <row r="94">
      <c r="A94" s="86"/>
      <c r="B94" s="101" t="s">
        <v>926</v>
      </c>
      <c r="C94" s="83">
        <v>2.0</v>
      </c>
      <c r="D94" s="74" t="s">
        <v>927</v>
      </c>
    </row>
    <row r="95">
      <c r="A95" s="86"/>
      <c r="B95" s="7"/>
      <c r="C95" s="7"/>
      <c r="D95" s="74" t="s">
        <v>928</v>
      </c>
    </row>
    <row r="96">
      <c r="A96" s="86"/>
      <c r="B96" s="101" t="s">
        <v>929</v>
      </c>
      <c r="C96" s="83">
        <v>2.0</v>
      </c>
      <c r="D96" s="74" t="s">
        <v>930</v>
      </c>
    </row>
    <row r="97">
      <c r="A97" s="86"/>
      <c r="B97" s="7"/>
      <c r="C97" s="7"/>
      <c r="D97" s="74" t="s">
        <v>931</v>
      </c>
    </row>
    <row r="98">
      <c r="A98" s="86"/>
      <c r="B98" s="136" t="s">
        <v>932</v>
      </c>
      <c r="C98" s="121">
        <v>1.0</v>
      </c>
      <c r="D98" s="74" t="s">
        <v>933</v>
      </c>
    </row>
    <row r="99">
      <c r="A99" s="86"/>
      <c r="B99" s="136" t="s">
        <v>934</v>
      </c>
      <c r="C99" s="121">
        <v>1.0</v>
      </c>
      <c r="D99" s="74" t="s">
        <v>935</v>
      </c>
    </row>
    <row r="100">
      <c r="A100" s="86"/>
      <c r="B100" s="136" t="s">
        <v>936</v>
      </c>
      <c r="C100" s="121">
        <v>1.0</v>
      </c>
      <c r="D100" s="74" t="s">
        <v>937</v>
      </c>
    </row>
    <row r="101">
      <c r="A101" s="86"/>
      <c r="B101" s="136" t="s">
        <v>938</v>
      </c>
      <c r="C101" s="121">
        <v>1.0</v>
      </c>
      <c r="D101" s="74" t="s">
        <v>939</v>
      </c>
    </row>
    <row r="102">
      <c r="A102" s="86"/>
      <c r="B102" s="136" t="s">
        <v>866</v>
      </c>
      <c r="C102" s="121">
        <v>1.0</v>
      </c>
      <c r="D102" s="74" t="s">
        <v>940</v>
      </c>
    </row>
    <row r="103">
      <c r="A103" s="86"/>
      <c r="B103" s="136" t="s">
        <v>941</v>
      </c>
      <c r="C103" s="121">
        <v>1.0</v>
      </c>
      <c r="D103" s="74" t="s">
        <v>942</v>
      </c>
    </row>
    <row r="104">
      <c r="A104" s="86"/>
      <c r="B104" s="136"/>
      <c r="C104" s="121"/>
      <c r="D104" s="74" t="s">
        <v>943</v>
      </c>
    </row>
    <row r="105">
      <c r="A105" s="83">
        <v>33.0</v>
      </c>
      <c r="B105" s="101" t="s">
        <v>944</v>
      </c>
      <c r="C105" s="83">
        <v>5.0</v>
      </c>
      <c r="D105" s="74" t="s">
        <v>945</v>
      </c>
    </row>
    <row r="106">
      <c r="A106" s="86"/>
      <c r="B106" s="86"/>
      <c r="C106" s="86"/>
      <c r="D106" s="111" t="s">
        <v>946</v>
      </c>
    </row>
    <row r="107">
      <c r="A107" s="86"/>
      <c r="B107" s="86"/>
      <c r="C107" s="86"/>
      <c r="D107" s="74" t="s">
        <v>947</v>
      </c>
    </row>
    <row r="108">
      <c r="A108" s="86"/>
      <c r="B108" s="86"/>
      <c r="C108" s="86"/>
      <c r="D108" s="173" t="s">
        <v>948</v>
      </c>
    </row>
    <row r="109">
      <c r="A109" s="86"/>
      <c r="B109" s="7"/>
      <c r="C109" s="7"/>
      <c r="D109" s="111" t="s">
        <v>949</v>
      </c>
    </row>
    <row r="110">
      <c r="A110" s="86"/>
      <c r="B110" s="101" t="s">
        <v>950</v>
      </c>
      <c r="C110" s="83">
        <v>2.0</v>
      </c>
      <c r="D110" s="74" t="s">
        <v>951</v>
      </c>
    </row>
    <row r="111">
      <c r="A111" s="86"/>
      <c r="B111" s="7"/>
      <c r="C111" s="7"/>
      <c r="D111" s="74" t="s">
        <v>952</v>
      </c>
    </row>
    <row r="112">
      <c r="A112" s="86"/>
      <c r="B112" s="101" t="s">
        <v>953</v>
      </c>
      <c r="C112" s="83">
        <v>2.0</v>
      </c>
      <c r="D112" s="74" t="s">
        <v>954</v>
      </c>
    </row>
    <row r="113">
      <c r="A113" s="86"/>
      <c r="B113" s="7"/>
      <c r="C113" s="7"/>
      <c r="D113" s="111" t="s">
        <v>955</v>
      </c>
    </row>
    <row r="114">
      <c r="A114" s="86"/>
      <c r="B114" s="136" t="s">
        <v>956</v>
      </c>
      <c r="C114" s="121">
        <v>1.0</v>
      </c>
      <c r="D114" s="74" t="s">
        <v>957</v>
      </c>
    </row>
    <row r="115">
      <c r="A115" s="86"/>
      <c r="B115" s="136" t="s">
        <v>892</v>
      </c>
      <c r="C115" s="121">
        <v>1.0</v>
      </c>
      <c r="D115" s="74" t="s">
        <v>958</v>
      </c>
    </row>
    <row r="116">
      <c r="A116" s="86"/>
      <c r="B116" s="136" t="s">
        <v>959</v>
      </c>
      <c r="C116" s="121">
        <v>1.0</v>
      </c>
      <c r="D116" s="74" t="s">
        <v>960</v>
      </c>
    </row>
    <row r="117">
      <c r="A117" s="86"/>
      <c r="B117" s="136" t="s">
        <v>961</v>
      </c>
      <c r="C117" s="121">
        <v>1.0</v>
      </c>
      <c r="D117" s="74" t="s">
        <v>962</v>
      </c>
    </row>
    <row r="118">
      <c r="A118" s="86"/>
      <c r="B118" s="136" t="s">
        <v>963</v>
      </c>
      <c r="C118" s="121">
        <v>1.0</v>
      </c>
      <c r="D118" s="111" t="s">
        <v>964</v>
      </c>
    </row>
    <row r="119">
      <c r="A119" s="83">
        <v>32.0</v>
      </c>
      <c r="B119" s="101" t="s">
        <v>965</v>
      </c>
      <c r="C119" s="83">
        <v>4.0</v>
      </c>
      <c r="D119" s="111" t="s">
        <v>966</v>
      </c>
    </row>
    <row r="120">
      <c r="A120" s="86"/>
      <c r="B120" s="86"/>
      <c r="C120" s="86"/>
      <c r="D120" s="164" t="s">
        <v>967</v>
      </c>
    </row>
    <row r="121">
      <c r="A121" s="86"/>
      <c r="B121" s="86"/>
      <c r="C121" s="86"/>
      <c r="D121" s="164" t="s">
        <v>968</v>
      </c>
    </row>
    <row r="122">
      <c r="A122" s="86"/>
      <c r="B122" s="7"/>
      <c r="C122" s="7"/>
      <c r="D122" s="165" t="s">
        <v>969</v>
      </c>
    </row>
    <row r="123">
      <c r="A123" s="86"/>
      <c r="B123" s="101" t="s">
        <v>970</v>
      </c>
      <c r="C123" s="83">
        <v>3.0</v>
      </c>
      <c r="D123" s="111" t="s">
        <v>971</v>
      </c>
    </row>
    <row r="124">
      <c r="A124" s="86"/>
      <c r="B124" s="86"/>
      <c r="C124" s="86"/>
      <c r="D124" s="164" t="s">
        <v>972</v>
      </c>
    </row>
    <row r="125">
      <c r="A125" s="86"/>
      <c r="B125" s="7"/>
      <c r="C125" s="7"/>
      <c r="D125" s="165" t="s">
        <v>973</v>
      </c>
    </row>
    <row r="126">
      <c r="A126" s="86"/>
      <c r="B126" s="101" t="s">
        <v>974</v>
      </c>
      <c r="C126" s="83">
        <v>3.0</v>
      </c>
      <c r="D126" s="111" t="s">
        <v>975</v>
      </c>
    </row>
    <row r="127">
      <c r="A127" s="86"/>
      <c r="B127" s="86"/>
      <c r="C127" s="86"/>
      <c r="D127" s="164" t="s">
        <v>976</v>
      </c>
    </row>
    <row r="128">
      <c r="A128" s="86"/>
      <c r="B128" s="7"/>
      <c r="C128" s="7"/>
      <c r="D128" s="165" t="s">
        <v>977</v>
      </c>
    </row>
    <row r="129">
      <c r="A129" s="86"/>
      <c r="B129" s="136" t="s">
        <v>978</v>
      </c>
      <c r="C129" s="121">
        <v>1.0</v>
      </c>
      <c r="D129" s="74" t="s">
        <v>979</v>
      </c>
    </row>
    <row r="130">
      <c r="A130" s="86"/>
      <c r="B130" s="136" t="s">
        <v>908</v>
      </c>
      <c r="C130" s="121">
        <v>1.0</v>
      </c>
      <c r="D130" s="74" t="s">
        <v>980</v>
      </c>
    </row>
    <row r="131">
      <c r="A131" s="86"/>
      <c r="B131" s="136" t="s">
        <v>874</v>
      </c>
      <c r="C131" s="121">
        <v>1.0</v>
      </c>
      <c r="D131" s="74" t="s">
        <v>981</v>
      </c>
    </row>
    <row r="132">
      <c r="A132" s="86"/>
      <c r="B132" s="136" t="s">
        <v>982</v>
      </c>
      <c r="C132" s="121">
        <v>1.0</v>
      </c>
      <c r="D132" s="74" t="s">
        <v>983</v>
      </c>
    </row>
    <row r="133">
      <c r="A133" s="83">
        <v>31.0</v>
      </c>
      <c r="B133" s="101" t="s">
        <v>984</v>
      </c>
      <c r="C133" s="83">
        <v>3.0</v>
      </c>
      <c r="D133" s="111" t="s">
        <v>985</v>
      </c>
    </row>
    <row r="134">
      <c r="A134" s="86"/>
      <c r="B134" s="86"/>
      <c r="C134" s="86"/>
      <c r="D134" s="164" t="s">
        <v>986</v>
      </c>
    </row>
    <row r="135">
      <c r="A135" s="86"/>
      <c r="B135" s="7"/>
      <c r="C135" s="7"/>
      <c r="D135" s="165" t="s">
        <v>987</v>
      </c>
    </row>
    <row r="136">
      <c r="A136" s="86"/>
      <c r="B136" s="101" t="s">
        <v>988</v>
      </c>
      <c r="C136" s="83">
        <v>2.0</v>
      </c>
      <c r="D136" s="111" t="s">
        <v>989</v>
      </c>
    </row>
    <row r="137">
      <c r="A137" s="86"/>
      <c r="B137" s="7"/>
      <c r="C137" s="7"/>
      <c r="D137" s="165" t="s">
        <v>990</v>
      </c>
    </row>
    <row r="138">
      <c r="A138" s="86"/>
      <c r="B138" s="101" t="s">
        <v>991</v>
      </c>
      <c r="C138" s="83">
        <v>2.0</v>
      </c>
      <c r="D138" s="111" t="s">
        <v>992</v>
      </c>
    </row>
    <row r="139">
      <c r="A139" s="86"/>
      <c r="B139" s="7"/>
      <c r="C139" s="7"/>
      <c r="D139" s="165" t="s">
        <v>993</v>
      </c>
    </row>
    <row r="140">
      <c r="A140" s="86"/>
      <c r="B140" s="101" t="s">
        <v>994</v>
      </c>
      <c r="C140" s="83">
        <v>2.0</v>
      </c>
      <c r="D140" s="111" t="s">
        <v>995</v>
      </c>
    </row>
    <row r="141">
      <c r="A141" s="86"/>
      <c r="B141" s="7"/>
      <c r="C141" s="7"/>
      <c r="D141" s="165" t="s">
        <v>996</v>
      </c>
    </row>
    <row r="142">
      <c r="A142" s="86"/>
      <c r="B142" s="136" t="s">
        <v>997</v>
      </c>
      <c r="C142" s="121">
        <v>1.0</v>
      </c>
      <c r="D142" s="74" t="s">
        <v>998</v>
      </c>
    </row>
    <row r="143">
      <c r="A143" s="86"/>
      <c r="B143" s="136" t="s">
        <v>999</v>
      </c>
      <c r="C143" s="121">
        <v>1.0</v>
      </c>
      <c r="D143" s="74" t="s">
        <v>1000</v>
      </c>
    </row>
    <row r="144">
      <c r="A144" s="86"/>
      <c r="B144" s="136" t="s">
        <v>1001</v>
      </c>
      <c r="C144" s="121">
        <v>1.0</v>
      </c>
      <c r="D144" s="74" t="s">
        <v>1002</v>
      </c>
    </row>
    <row r="145">
      <c r="A145" s="86"/>
      <c r="B145" s="136" t="s">
        <v>1003</v>
      </c>
      <c r="C145" s="121">
        <v>1.0</v>
      </c>
      <c r="D145" s="74" t="s">
        <v>1004</v>
      </c>
    </row>
    <row r="146">
      <c r="A146" s="86"/>
      <c r="B146" s="136" t="s">
        <v>1005</v>
      </c>
      <c r="C146" s="121">
        <v>1.0</v>
      </c>
      <c r="D146" s="74" t="s">
        <v>1006</v>
      </c>
    </row>
    <row r="147">
      <c r="A147" s="83">
        <v>30.0</v>
      </c>
      <c r="B147" s="101" t="s">
        <v>1007</v>
      </c>
      <c r="C147" s="83">
        <v>2.0</v>
      </c>
      <c r="D147" s="111" t="s">
        <v>1008</v>
      </c>
    </row>
    <row r="148">
      <c r="A148" s="86"/>
      <c r="B148" s="7"/>
      <c r="C148" s="7"/>
      <c r="D148" s="165" t="s">
        <v>1009</v>
      </c>
    </row>
    <row r="149">
      <c r="A149" s="86"/>
      <c r="B149" s="101" t="s">
        <v>997</v>
      </c>
      <c r="C149" s="83">
        <v>2.0</v>
      </c>
      <c r="D149" s="111" t="s">
        <v>1010</v>
      </c>
    </row>
    <row r="150">
      <c r="A150" s="86"/>
      <c r="B150" s="7"/>
      <c r="C150" s="7"/>
      <c r="D150" s="165" t="s">
        <v>1011</v>
      </c>
    </row>
    <row r="151">
      <c r="A151" s="86"/>
      <c r="B151" s="136" t="s">
        <v>1012</v>
      </c>
      <c r="C151" s="121">
        <v>1.0</v>
      </c>
      <c r="D151" s="74" t="s">
        <v>1013</v>
      </c>
    </row>
    <row r="152">
      <c r="A152" s="86"/>
      <c r="B152" s="136" t="s">
        <v>1014</v>
      </c>
      <c r="C152" s="121">
        <v>1.0</v>
      </c>
      <c r="D152" s="74" t="s">
        <v>1015</v>
      </c>
    </row>
    <row r="153">
      <c r="A153" s="86"/>
      <c r="B153" s="136" t="s">
        <v>1016</v>
      </c>
      <c r="C153" s="121">
        <v>1.0</v>
      </c>
      <c r="D153" s="74" t="s">
        <v>1017</v>
      </c>
    </row>
    <row r="154">
      <c r="A154" s="86"/>
      <c r="B154" s="136" t="s">
        <v>1018</v>
      </c>
      <c r="C154" s="121">
        <v>1.0</v>
      </c>
      <c r="D154" s="74" t="s">
        <v>1019</v>
      </c>
    </row>
    <row r="155">
      <c r="A155" s="86"/>
      <c r="B155" s="136" t="s">
        <v>1020</v>
      </c>
      <c r="C155" s="121">
        <v>1.0</v>
      </c>
      <c r="D155" s="74" t="s">
        <v>1021</v>
      </c>
    </row>
    <row r="156">
      <c r="A156" s="86"/>
      <c r="B156" s="136" t="s">
        <v>1022</v>
      </c>
      <c r="C156" s="121">
        <v>1.0</v>
      </c>
      <c r="D156" s="74" t="s">
        <v>1023</v>
      </c>
    </row>
    <row r="157">
      <c r="A157" s="86"/>
      <c r="B157" s="136" t="s">
        <v>908</v>
      </c>
      <c r="C157" s="121">
        <v>1.0</v>
      </c>
      <c r="D157" s="74" t="s">
        <v>1024</v>
      </c>
    </row>
    <row r="158">
      <c r="A158" s="86"/>
      <c r="B158" s="136" t="s">
        <v>953</v>
      </c>
      <c r="C158" s="121">
        <v>1.0</v>
      </c>
      <c r="D158" s="74" t="s">
        <v>1025</v>
      </c>
    </row>
    <row r="159">
      <c r="A159" s="86"/>
      <c r="B159" s="136" t="s">
        <v>1026</v>
      </c>
      <c r="C159" s="121">
        <v>1.0</v>
      </c>
      <c r="D159" s="74" t="s">
        <v>1027</v>
      </c>
    </row>
    <row r="160">
      <c r="A160" s="86"/>
      <c r="B160" s="136" t="s">
        <v>1028</v>
      </c>
      <c r="C160" s="121">
        <v>1.0</v>
      </c>
      <c r="D160" s="74" t="s">
        <v>1029</v>
      </c>
    </row>
    <row r="161">
      <c r="A161" s="83">
        <v>29.0</v>
      </c>
      <c r="B161" s="101" t="s">
        <v>1030</v>
      </c>
      <c r="C161" s="83">
        <v>3.0</v>
      </c>
      <c r="D161" s="111" t="s">
        <v>1031</v>
      </c>
    </row>
    <row r="162">
      <c r="A162" s="86"/>
      <c r="B162" s="86"/>
      <c r="C162" s="86"/>
      <c r="D162" s="164" t="s">
        <v>1032</v>
      </c>
    </row>
    <row r="163">
      <c r="A163" s="86"/>
      <c r="B163" s="7"/>
      <c r="C163" s="7"/>
      <c r="D163" s="165" t="s">
        <v>1033</v>
      </c>
    </row>
    <row r="164">
      <c r="A164" s="86"/>
      <c r="B164" s="101" t="s">
        <v>1034</v>
      </c>
      <c r="C164" s="83">
        <v>2.0</v>
      </c>
      <c r="D164" s="111" t="s">
        <v>1035</v>
      </c>
    </row>
    <row r="165">
      <c r="A165" s="86"/>
      <c r="B165" s="7"/>
      <c r="C165" s="7"/>
      <c r="D165" s="165" t="s">
        <v>1036</v>
      </c>
    </row>
    <row r="166">
      <c r="A166" s="86"/>
      <c r="B166" s="101" t="s">
        <v>1037</v>
      </c>
      <c r="C166" s="83">
        <v>2.0</v>
      </c>
      <c r="D166" s="111" t="s">
        <v>1038</v>
      </c>
    </row>
    <row r="167">
      <c r="A167" s="86"/>
      <c r="B167" s="7"/>
      <c r="C167" s="7"/>
      <c r="D167" s="165" t="s">
        <v>1039</v>
      </c>
    </row>
    <row r="168">
      <c r="A168" s="86"/>
      <c r="B168" s="136" t="s">
        <v>1040</v>
      </c>
      <c r="C168" s="121">
        <v>1.0</v>
      </c>
      <c r="D168" s="74" t="s">
        <v>1041</v>
      </c>
    </row>
    <row r="169">
      <c r="A169" s="86"/>
      <c r="B169" s="136" t="s">
        <v>862</v>
      </c>
      <c r="C169" s="121">
        <v>1.0</v>
      </c>
      <c r="D169" s="74" t="s">
        <v>1042</v>
      </c>
    </row>
    <row r="170">
      <c r="A170" s="86"/>
      <c r="B170" s="136" t="s">
        <v>855</v>
      </c>
      <c r="C170" s="121">
        <v>1.0</v>
      </c>
      <c r="D170" s="74" t="s">
        <v>1043</v>
      </c>
    </row>
    <row r="171">
      <c r="A171" s="86"/>
      <c r="B171" s="136" t="s">
        <v>1044</v>
      </c>
      <c r="C171" s="121">
        <v>1.0</v>
      </c>
      <c r="D171" s="74" t="s">
        <v>1045</v>
      </c>
    </row>
    <row r="172">
      <c r="A172" s="86"/>
      <c r="B172" s="136" t="s">
        <v>994</v>
      </c>
      <c r="C172" s="121">
        <v>1.0</v>
      </c>
      <c r="D172" s="74" t="s">
        <v>1046</v>
      </c>
    </row>
    <row r="173">
      <c r="A173" s="86"/>
      <c r="B173" s="136" t="s">
        <v>1047</v>
      </c>
      <c r="C173" s="121">
        <v>1.0</v>
      </c>
      <c r="D173" s="74" t="s">
        <v>1048</v>
      </c>
    </row>
    <row r="174">
      <c r="A174" s="86"/>
      <c r="B174" s="136" t="s">
        <v>1049</v>
      </c>
      <c r="C174" s="121">
        <v>1.0</v>
      </c>
      <c r="D174" s="74" t="s">
        <v>1050</v>
      </c>
    </row>
    <row r="175">
      <c r="A175" s="83">
        <v>28.0</v>
      </c>
      <c r="B175" s="101" t="s">
        <v>859</v>
      </c>
      <c r="C175" s="83">
        <v>7.0</v>
      </c>
      <c r="D175" s="111" t="s">
        <v>1051</v>
      </c>
    </row>
    <row r="176">
      <c r="A176" s="86"/>
      <c r="B176" s="86"/>
      <c r="C176" s="86"/>
      <c r="D176" s="164" t="s">
        <v>1052</v>
      </c>
    </row>
    <row r="177">
      <c r="A177" s="86"/>
      <c r="B177" s="86"/>
      <c r="C177" s="86"/>
      <c r="D177" s="164" t="s">
        <v>1053</v>
      </c>
    </row>
    <row r="178">
      <c r="A178" s="86"/>
      <c r="B178" s="86"/>
      <c r="C178" s="86"/>
      <c r="D178" s="164" t="s">
        <v>1054</v>
      </c>
    </row>
    <row r="179">
      <c r="A179" s="86"/>
      <c r="B179" s="86"/>
      <c r="C179" s="86"/>
      <c r="D179" s="164" t="s">
        <v>1055</v>
      </c>
    </row>
    <row r="180">
      <c r="A180" s="86"/>
      <c r="B180" s="86"/>
      <c r="C180" s="86"/>
      <c r="D180" s="164" t="s">
        <v>1056</v>
      </c>
    </row>
    <row r="181">
      <c r="A181" s="86"/>
      <c r="B181" s="7"/>
      <c r="C181" s="7"/>
      <c r="D181" s="165" t="s">
        <v>1057</v>
      </c>
    </row>
    <row r="182">
      <c r="A182" s="86"/>
      <c r="B182" s="101" t="s">
        <v>1058</v>
      </c>
      <c r="C182" s="83">
        <v>2.0</v>
      </c>
      <c r="D182" s="111" t="s">
        <v>1059</v>
      </c>
    </row>
    <row r="183">
      <c r="A183" s="86"/>
      <c r="B183" s="7"/>
      <c r="C183" s="7"/>
      <c r="D183" s="165" t="s">
        <v>1060</v>
      </c>
    </row>
    <row r="184">
      <c r="A184" s="86"/>
      <c r="B184" s="136" t="s">
        <v>868</v>
      </c>
      <c r="C184" s="121">
        <v>1.0</v>
      </c>
      <c r="D184" s="74" t="s">
        <v>1061</v>
      </c>
    </row>
    <row r="185">
      <c r="A185" s="86"/>
      <c r="B185" s="136" t="s">
        <v>1062</v>
      </c>
      <c r="C185" s="121">
        <v>1.0</v>
      </c>
      <c r="D185" s="74" t="s">
        <v>1063</v>
      </c>
    </row>
    <row r="186">
      <c r="A186" s="86"/>
      <c r="B186" s="136" t="s">
        <v>988</v>
      </c>
      <c r="C186" s="121">
        <v>1.0</v>
      </c>
      <c r="D186" s="74" t="s">
        <v>1064</v>
      </c>
    </row>
    <row r="187">
      <c r="A187" s="86"/>
      <c r="B187" s="136" t="s">
        <v>984</v>
      </c>
      <c r="C187" s="121">
        <v>1.0</v>
      </c>
      <c r="D187" s="74" t="s">
        <v>1065</v>
      </c>
    </row>
    <row r="188">
      <c r="A188" s="86"/>
      <c r="B188" s="136" t="s">
        <v>1066</v>
      </c>
      <c r="C188" s="121">
        <v>1.0</v>
      </c>
      <c r="D188" s="74" t="s">
        <v>1067</v>
      </c>
    </row>
    <row r="189">
      <c r="A189" s="83">
        <v>27.0</v>
      </c>
      <c r="B189" s="101" t="s">
        <v>1068</v>
      </c>
      <c r="C189" s="83">
        <v>2.0</v>
      </c>
      <c r="D189" s="111" t="s">
        <v>1069</v>
      </c>
    </row>
    <row r="190">
      <c r="A190" s="86"/>
      <c r="B190" s="7"/>
      <c r="C190" s="7"/>
      <c r="D190" s="165" t="s">
        <v>1070</v>
      </c>
    </row>
    <row r="191">
      <c r="A191" s="86"/>
      <c r="B191" s="101" t="s">
        <v>1071</v>
      </c>
      <c r="C191" s="83">
        <v>2.0</v>
      </c>
      <c r="D191" s="111" t="s">
        <v>1072</v>
      </c>
    </row>
    <row r="192">
      <c r="A192" s="86"/>
      <c r="B192" s="7"/>
      <c r="C192" s="7"/>
      <c r="D192" s="165" t="s">
        <v>1073</v>
      </c>
    </row>
    <row r="193">
      <c r="A193" s="86"/>
      <c r="B193" s="101" t="s">
        <v>1074</v>
      </c>
      <c r="C193" s="83">
        <v>2.0</v>
      </c>
      <c r="D193" s="111" t="s">
        <v>1075</v>
      </c>
    </row>
    <row r="194">
      <c r="A194" s="86"/>
      <c r="B194" s="7"/>
      <c r="C194" s="7"/>
      <c r="D194" s="165" t="s">
        <v>1076</v>
      </c>
    </row>
    <row r="195">
      <c r="A195" s="86"/>
      <c r="B195" s="136" t="s">
        <v>1077</v>
      </c>
      <c r="C195" s="121">
        <v>1.0</v>
      </c>
      <c r="D195" s="74" t="s">
        <v>1078</v>
      </c>
    </row>
    <row r="196">
      <c r="A196" s="86"/>
      <c r="B196" s="136" t="s">
        <v>1079</v>
      </c>
      <c r="C196" s="121">
        <v>1.0</v>
      </c>
      <c r="D196" s="74" t="s">
        <v>1080</v>
      </c>
    </row>
    <row r="197">
      <c r="A197" s="86"/>
      <c r="B197" s="136" t="s">
        <v>963</v>
      </c>
      <c r="C197" s="121">
        <v>1.0</v>
      </c>
      <c r="D197" s="74" t="s">
        <v>1081</v>
      </c>
    </row>
    <row r="198">
      <c r="A198" s="86"/>
      <c r="B198" s="136" t="s">
        <v>1082</v>
      </c>
      <c r="C198" s="121">
        <v>1.0</v>
      </c>
      <c r="D198" s="74" t="s">
        <v>1083</v>
      </c>
    </row>
    <row r="199">
      <c r="A199" s="86"/>
      <c r="B199" s="136" t="s">
        <v>1084</v>
      </c>
      <c r="C199" s="121">
        <v>1.0</v>
      </c>
      <c r="D199" s="74" t="s">
        <v>1085</v>
      </c>
    </row>
    <row r="200">
      <c r="A200" s="86"/>
      <c r="B200" s="136" t="s">
        <v>1086</v>
      </c>
      <c r="C200" s="121">
        <v>1.0</v>
      </c>
      <c r="D200" s="74" t="s">
        <v>1087</v>
      </c>
    </row>
    <row r="201">
      <c r="A201" s="86"/>
      <c r="B201" s="136" t="s">
        <v>1001</v>
      </c>
      <c r="C201" s="121">
        <v>1.0</v>
      </c>
      <c r="D201" s="74" t="s">
        <v>1088</v>
      </c>
    </row>
    <row r="202">
      <c r="A202" s="7"/>
      <c r="B202" s="136" t="s">
        <v>1089</v>
      </c>
      <c r="C202" s="121">
        <v>1.0</v>
      </c>
      <c r="D202" s="74" t="s">
        <v>1090</v>
      </c>
    </row>
    <row r="203">
      <c r="A203" s="83">
        <v>26.0</v>
      </c>
      <c r="B203" s="101" t="s">
        <v>1091</v>
      </c>
      <c r="C203" s="83">
        <v>3.0</v>
      </c>
      <c r="D203" s="111" t="s">
        <v>1092</v>
      </c>
    </row>
    <row r="204">
      <c r="A204" s="86"/>
      <c r="B204" s="86"/>
      <c r="C204" s="86"/>
      <c r="D204" s="164" t="s">
        <v>1093</v>
      </c>
    </row>
    <row r="205">
      <c r="A205" s="86"/>
      <c r="B205" s="7"/>
      <c r="C205" s="7"/>
      <c r="D205" s="165" t="s">
        <v>1094</v>
      </c>
    </row>
    <row r="206">
      <c r="A206" s="86"/>
      <c r="B206" s="101" t="s">
        <v>1095</v>
      </c>
      <c r="C206" s="83">
        <v>3.0</v>
      </c>
      <c r="D206" s="111" t="s">
        <v>1096</v>
      </c>
    </row>
    <row r="207">
      <c r="A207" s="86"/>
      <c r="B207" s="86"/>
      <c r="C207" s="86"/>
      <c r="D207" s="164" t="s">
        <v>1097</v>
      </c>
    </row>
    <row r="208">
      <c r="A208" s="86"/>
      <c r="B208" s="7"/>
      <c r="C208" s="7"/>
      <c r="D208" s="165" t="s">
        <v>1098</v>
      </c>
    </row>
    <row r="209">
      <c r="A209" s="86"/>
      <c r="B209" s="101" t="s">
        <v>1099</v>
      </c>
      <c r="C209" s="83">
        <v>2.0</v>
      </c>
      <c r="D209" s="111" t="s">
        <v>1100</v>
      </c>
    </row>
    <row r="210">
      <c r="A210" s="86"/>
      <c r="B210" s="7"/>
      <c r="C210" s="7"/>
      <c r="D210" s="165" t="s">
        <v>1101</v>
      </c>
    </row>
    <row r="211">
      <c r="A211" s="86"/>
      <c r="B211" s="101" t="s">
        <v>1102</v>
      </c>
      <c r="C211" s="83">
        <v>2.0</v>
      </c>
      <c r="D211" s="111" t="s">
        <v>1103</v>
      </c>
    </row>
    <row r="212">
      <c r="A212" s="86"/>
      <c r="B212" s="7"/>
      <c r="C212" s="7"/>
      <c r="D212" s="165" t="s">
        <v>1104</v>
      </c>
    </row>
    <row r="213">
      <c r="A213" s="86"/>
      <c r="B213" s="101" t="s">
        <v>938</v>
      </c>
      <c r="C213" s="83">
        <v>2.0</v>
      </c>
      <c r="D213" s="111" t="s">
        <v>1105</v>
      </c>
    </row>
    <row r="214">
      <c r="A214" s="86"/>
      <c r="B214" s="7"/>
      <c r="C214" s="7"/>
      <c r="D214" s="165" t="s">
        <v>1106</v>
      </c>
    </row>
    <row r="215">
      <c r="A215" s="86"/>
      <c r="B215" s="136" t="s">
        <v>1107</v>
      </c>
      <c r="C215" s="121">
        <v>1.0</v>
      </c>
      <c r="D215" s="74" t="s">
        <v>1108</v>
      </c>
    </row>
    <row r="216">
      <c r="A216" s="86"/>
      <c r="B216" s="136" t="s">
        <v>963</v>
      </c>
      <c r="C216" s="121">
        <v>1.0</v>
      </c>
      <c r="D216" s="74" t="s">
        <v>1109</v>
      </c>
    </row>
    <row r="217">
      <c r="A217" s="83">
        <v>25.0</v>
      </c>
      <c r="B217" s="101" t="s">
        <v>1110</v>
      </c>
      <c r="C217" s="83">
        <v>3.0</v>
      </c>
      <c r="D217" s="111" t="s">
        <v>1111</v>
      </c>
    </row>
    <row r="218">
      <c r="A218" s="86"/>
      <c r="B218" s="86"/>
      <c r="C218" s="86"/>
      <c r="D218" s="164" t="s">
        <v>1112</v>
      </c>
    </row>
    <row r="219">
      <c r="A219" s="86"/>
      <c r="B219" s="7"/>
      <c r="C219" s="7"/>
      <c r="D219" s="165" t="s">
        <v>1113</v>
      </c>
    </row>
    <row r="220">
      <c r="A220" s="86"/>
      <c r="B220" s="101" t="s">
        <v>1114</v>
      </c>
      <c r="C220" s="83">
        <v>3.0</v>
      </c>
      <c r="D220" s="111" t="s">
        <v>1115</v>
      </c>
    </row>
    <row r="221">
      <c r="A221" s="86"/>
      <c r="B221" s="86"/>
      <c r="C221" s="86"/>
      <c r="D221" s="164" t="s">
        <v>1116</v>
      </c>
    </row>
    <row r="222">
      <c r="A222" s="86"/>
      <c r="B222" s="7"/>
      <c r="C222" s="7"/>
      <c r="D222" s="165" t="s">
        <v>1117</v>
      </c>
    </row>
    <row r="223">
      <c r="A223" s="86"/>
      <c r="B223" s="101" t="s">
        <v>1118</v>
      </c>
      <c r="C223" s="83">
        <v>2.0</v>
      </c>
      <c r="D223" s="111" t="s">
        <v>1119</v>
      </c>
    </row>
    <row r="224">
      <c r="A224" s="86"/>
      <c r="B224" s="7"/>
      <c r="C224" s="7"/>
      <c r="D224" s="165" t="s">
        <v>1120</v>
      </c>
    </row>
    <row r="225">
      <c r="A225" s="86"/>
      <c r="B225" s="101" t="s">
        <v>938</v>
      </c>
      <c r="C225" s="83">
        <v>2.0</v>
      </c>
      <c r="D225" s="111" t="s">
        <v>1121</v>
      </c>
    </row>
    <row r="226">
      <c r="A226" s="86"/>
      <c r="B226" s="7"/>
      <c r="C226" s="7"/>
      <c r="D226" s="165" t="s">
        <v>1122</v>
      </c>
    </row>
    <row r="227">
      <c r="A227" s="86"/>
      <c r="B227" s="136" t="s">
        <v>1123</v>
      </c>
      <c r="C227" s="121">
        <v>1.0</v>
      </c>
      <c r="D227" s="74" t="s">
        <v>1124</v>
      </c>
    </row>
    <row r="228">
      <c r="A228" s="86"/>
      <c r="B228" s="136" t="s">
        <v>1125</v>
      </c>
      <c r="C228" s="121">
        <v>1.0</v>
      </c>
      <c r="D228" s="74" t="s">
        <v>1126</v>
      </c>
    </row>
    <row r="229">
      <c r="A229" s="86"/>
      <c r="B229" s="136" t="s">
        <v>997</v>
      </c>
      <c r="C229" s="121">
        <v>1.0</v>
      </c>
      <c r="D229" s="74" t="s">
        <v>1127</v>
      </c>
    </row>
    <row r="230">
      <c r="A230" s="86"/>
      <c r="B230" s="136" t="s">
        <v>1128</v>
      </c>
      <c r="C230" s="121">
        <v>1.0</v>
      </c>
      <c r="D230" s="74" t="s">
        <v>1129</v>
      </c>
    </row>
    <row r="231">
      <c r="A231" s="83">
        <v>24.0</v>
      </c>
      <c r="B231" s="101" t="s">
        <v>1130</v>
      </c>
      <c r="C231" s="83">
        <v>3.0</v>
      </c>
      <c r="D231" s="111" t="s">
        <v>1131</v>
      </c>
    </row>
    <row r="232">
      <c r="A232" s="86"/>
      <c r="B232" s="86"/>
      <c r="C232" s="86"/>
      <c r="D232" s="164" t="s">
        <v>1132</v>
      </c>
    </row>
    <row r="233">
      <c r="A233" s="86"/>
      <c r="B233" s="7"/>
      <c r="C233" s="7"/>
      <c r="D233" s="165" t="s">
        <v>1133</v>
      </c>
    </row>
    <row r="234">
      <c r="A234" s="86"/>
      <c r="B234" s="101" t="s">
        <v>997</v>
      </c>
      <c r="C234" s="83">
        <v>2.0</v>
      </c>
      <c r="D234" s="111" t="s">
        <v>1134</v>
      </c>
    </row>
    <row r="235">
      <c r="A235" s="86"/>
      <c r="B235" s="7"/>
      <c r="C235" s="7"/>
      <c r="D235" s="165" t="s">
        <v>1135</v>
      </c>
    </row>
    <row r="236">
      <c r="A236" s="86"/>
      <c r="B236" s="101" t="s">
        <v>1079</v>
      </c>
      <c r="C236" s="83">
        <v>2.0</v>
      </c>
      <c r="D236" s="111" t="s">
        <v>1136</v>
      </c>
    </row>
    <row r="237">
      <c r="A237" s="86"/>
      <c r="B237" s="7"/>
      <c r="C237" s="7"/>
      <c r="D237" s="165" t="s">
        <v>1137</v>
      </c>
    </row>
    <row r="238">
      <c r="A238" s="86"/>
      <c r="B238" s="101" t="s">
        <v>1138</v>
      </c>
      <c r="C238" s="83">
        <v>2.0</v>
      </c>
      <c r="D238" s="111" t="s">
        <v>1139</v>
      </c>
    </row>
    <row r="239">
      <c r="A239" s="86"/>
      <c r="B239" s="7"/>
      <c r="C239" s="7"/>
      <c r="D239" s="165" t="s">
        <v>1140</v>
      </c>
    </row>
    <row r="240">
      <c r="A240" s="86"/>
      <c r="B240" s="136" t="s">
        <v>1141</v>
      </c>
      <c r="C240" s="121">
        <v>1.0</v>
      </c>
      <c r="D240" s="74" t="s">
        <v>1142</v>
      </c>
    </row>
    <row r="241">
      <c r="A241" s="86"/>
      <c r="B241" s="136" t="s">
        <v>944</v>
      </c>
      <c r="C241" s="121">
        <v>1.0</v>
      </c>
      <c r="D241" s="74" t="s">
        <v>1143</v>
      </c>
    </row>
    <row r="242">
      <c r="A242" s="86"/>
      <c r="B242" s="136" t="s">
        <v>1144</v>
      </c>
      <c r="C242" s="121">
        <v>1.0</v>
      </c>
      <c r="D242" s="74" t="s">
        <v>1145</v>
      </c>
    </row>
    <row r="243">
      <c r="A243" s="86"/>
      <c r="B243" s="136" t="s">
        <v>1146</v>
      </c>
      <c r="C243" s="121">
        <v>1.0</v>
      </c>
      <c r="D243" s="74" t="s">
        <v>1147</v>
      </c>
    </row>
    <row r="244">
      <c r="A244" s="86"/>
      <c r="B244" s="136" t="s">
        <v>1148</v>
      </c>
      <c r="C244" s="121">
        <v>1.0</v>
      </c>
      <c r="D244" s="74" t="s">
        <v>1149</v>
      </c>
    </row>
    <row r="245">
      <c r="A245" s="83">
        <v>23.0</v>
      </c>
      <c r="B245" s="101" t="s">
        <v>1150</v>
      </c>
      <c r="C245" s="83">
        <v>5.0</v>
      </c>
      <c r="D245" s="111" t="s">
        <v>1151</v>
      </c>
    </row>
    <row r="246">
      <c r="A246" s="86"/>
      <c r="B246" s="86"/>
      <c r="C246" s="86"/>
      <c r="D246" s="164" t="s">
        <v>1152</v>
      </c>
    </row>
    <row r="247">
      <c r="A247" s="86"/>
      <c r="B247" s="86"/>
      <c r="C247" s="86"/>
      <c r="D247" s="164" t="s">
        <v>1153</v>
      </c>
    </row>
    <row r="248">
      <c r="A248" s="86"/>
      <c r="B248" s="86"/>
      <c r="C248" s="86"/>
      <c r="D248" s="164" t="s">
        <v>1154</v>
      </c>
    </row>
    <row r="249">
      <c r="A249" s="86"/>
      <c r="B249" s="7"/>
      <c r="C249" s="7"/>
      <c r="D249" s="165" t="s">
        <v>1155</v>
      </c>
    </row>
    <row r="250">
      <c r="A250" s="86"/>
      <c r="B250" s="101" t="s">
        <v>1156</v>
      </c>
      <c r="C250" s="83">
        <v>4.0</v>
      </c>
      <c r="D250" s="111" t="s">
        <v>1157</v>
      </c>
    </row>
    <row r="251">
      <c r="A251" s="86"/>
      <c r="B251" s="86"/>
      <c r="C251" s="86"/>
      <c r="D251" s="164" t="s">
        <v>1158</v>
      </c>
    </row>
    <row r="252">
      <c r="A252" s="86"/>
      <c r="B252" s="86"/>
      <c r="C252" s="86"/>
      <c r="D252" s="164" t="s">
        <v>1159</v>
      </c>
    </row>
    <row r="253">
      <c r="A253" s="86"/>
      <c r="B253" s="7"/>
      <c r="C253" s="7"/>
      <c r="D253" s="165" t="s">
        <v>1160</v>
      </c>
    </row>
    <row r="254">
      <c r="A254" s="86"/>
      <c r="B254" s="101" t="s">
        <v>1095</v>
      </c>
      <c r="C254" s="83">
        <v>3.0</v>
      </c>
      <c r="D254" s="111" t="s">
        <v>1161</v>
      </c>
    </row>
    <row r="255">
      <c r="A255" s="86"/>
      <c r="B255" s="86"/>
      <c r="C255" s="86"/>
      <c r="D255" s="164" t="s">
        <v>1162</v>
      </c>
    </row>
    <row r="256">
      <c r="A256" s="86"/>
      <c r="B256" s="7"/>
      <c r="C256" s="7"/>
      <c r="D256" s="165" t="s">
        <v>1163</v>
      </c>
    </row>
    <row r="257">
      <c r="A257" s="86"/>
      <c r="B257" s="136" t="s">
        <v>1099</v>
      </c>
      <c r="C257" s="121">
        <v>1.0</v>
      </c>
      <c r="D257" s="74" t="s">
        <v>1164</v>
      </c>
    </row>
    <row r="258">
      <c r="A258" s="86"/>
      <c r="B258" s="136" t="s">
        <v>1165</v>
      </c>
      <c r="C258" s="121">
        <v>1.0</v>
      </c>
      <c r="D258" s="74" t="s">
        <v>1166</v>
      </c>
    </row>
    <row r="259">
      <c r="A259" s="83">
        <v>22.0</v>
      </c>
      <c r="B259" s="101" t="s">
        <v>870</v>
      </c>
      <c r="C259" s="83">
        <v>5.0</v>
      </c>
      <c r="D259" s="111" t="s">
        <v>1167</v>
      </c>
    </row>
    <row r="260">
      <c r="A260" s="86"/>
      <c r="B260" s="86"/>
      <c r="C260" s="86"/>
      <c r="D260" s="164" t="s">
        <v>1168</v>
      </c>
    </row>
    <row r="261">
      <c r="A261" s="86"/>
      <c r="B261" s="86"/>
      <c r="C261" s="86"/>
      <c r="D261" s="164" t="s">
        <v>1169</v>
      </c>
    </row>
    <row r="262">
      <c r="A262" s="86"/>
      <c r="B262" s="86"/>
      <c r="C262" s="86"/>
      <c r="D262" s="164" t="s">
        <v>1170</v>
      </c>
    </row>
    <row r="263">
      <c r="A263" s="86"/>
      <c r="B263" s="7"/>
      <c r="C263" s="7"/>
      <c r="D263" s="165" t="s">
        <v>1171</v>
      </c>
    </row>
    <row r="264">
      <c r="A264" s="86"/>
      <c r="B264" s="101" t="s">
        <v>1091</v>
      </c>
      <c r="C264" s="83">
        <v>4.0</v>
      </c>
      <c r="D264" s="111" t="s">
        <v>1172</v>
      </c>
    </row>
    <row r="265">
      <c r="A265" s="86"/>
      <c r="B265" s="86"/>
      <c r="C265" s="86"/>
      <c r="D265" s="164" t="s">
        <v>1173</v>
      </c>
    </row>
    <row r="266">
      <c r="A266" s="86"/>
      <c r="B266" s="86"/>
      <c r="C266" s="86"/>
      <c r="D266" s="164" t="s">
        <v>1174</v>
      </c>
    </row>
    <row r="267">
      <c r="A267" s="86"/>
      <c r="B267" s="7"/>
      <c r="C267" s="7"/>
      <c r="D267" s="165" t="s">
        <v>1175</v>
      </c>
    </row>
    <row r="268">
      <c r="A268" s="86"/>
      <c r="B268" s="136" t="s">
        <v>1123</v>
      </c>
      <c r="C268" s="121">
        <v>1.0</v>
      </c>
      <c r="D268" s="74" t="s">
        <v>1176</v>
      </c>
    </row>
    <row r="269">
      <c r="A269" s="86"/>
      <c r="B269" s="136" t="s">
        <v>1177</v>
      </c>
      <c r="C269" s="121">
        <v>1.0</v>
      </c>
      <c r="D269" s="74" t="s">
        <v>1178</v>
      </c>
    </row>
    <row r="270">
      <c r="A270" s="86"/>
      <c r="B270" s="136" t="s">
        <v>1179</v>
      </c>
      <c r="C270" s="121">
        <v>1.0</v>
      </c>
      <c r="D270" s="74" t="s">
        <v>1180</v>
      </c>
    </row>
    <row r="271">
      <c r="A271" s="86"/>
      <c r="B271" s="136" t="s">
        <v>1181</v>
      </c>
      <c r="C271" s="121">
        <v>1.0</v>
      </c>
      <c r="D271" s="74" t="s">
        <v>1182</v>
      </c>
    </row>
    <row r="272">
      <c r="A272" s="86"/>
      <c r="B272" s="136" t="s">
        <v>1183</v>
      </c>
      <c r="C272" s="121">
        <v>1.0</v>
      </c>
      <c r="D272" s="74" t="s">
        <v>1169</v>
      </c>
    </row>
    <row r="273">
      <c r="A273" s="7"/>
      <c r="B273" s="136" t="s">
        <v>926</v>
      </c>
      <c r="C273" s="121">
        <v>1.0</v>
      </c>
      <c r="D273" s="74" t="s">
        <v>1184</v>
      </c>
    </row>
    <row r="274">
      <c r="A274" s="83">
        <v>21.0</v>
      </c>
      <c r="B274" s="101" t="s">
        <v>1185</v>
      </c>
      <c r="C274" s="83">
        <v>2.0</v>
      </c>
      <c r="D274" s="111" t="s">
        <v>1186</v>
      </c>
    </row>
    <row r="275">
      <c r="A275" s="86"/>
      <c r="B275" s="7"/>
      <c r="C275" s="7"/>
      <c r="D275" s="165" t="s">
        <v>1187</v>
      </c>
    </row>
    <row r="276">
      <c r="A276" s="86"/>
      <c r="B276" s="101" t="s">
        <v>1188</v>
      </c>
      <c r="C276" s="83">
        <v>2.0</v>
      </c>
      <c r="D276" s="111" t="s">
        <v>1189</v>
      </c>
    </row>
    <row r="277">
      <c r="A277" s="86"/>
      <c r="B277" s="7"/>
      <c r="C277" s="7"/>
      <c r="D277" s="165" t="s">
        <v>1190</v>
      </c>
    </row>
    <row r="278">
      <c r="A278" s="86"/>
      <c r="B278" s="101" t="s">
        <v>1191</v>
      </c>
      <c r="C278" s="83">
        <v>2.0</v>
      </c>
      <c r="D278" s="111" t="s">
        <v>1192</v>
      </c>
    </row>
    <row r="279">
      <c r="A279" s="86"/>
      <c r="B279" s="7"/>
      <c r="C279" s="7"/>
      <c r="D279" s="165" t="s">
        <v>1193</v>
      </c>
    </row>
    <row r="280">
      <c r="A280" s="86"/>
      <c r="B280" s="101" t="s">
        <v>1194</v>
      </c>
      <c r="C280" s="83">
        <v>2.0</v>
      </c>
      <c r="D280" s="111" t="s">
        <v>1195</v>
      </c>
    </row>
    <row r="281">
      <c r="A281" s="86"/>
      <c r="B281" s="7"/>
      <c r="C281" s="7"/>
      <c r="D281" s="165" t="s">
        <v>1196</v>
      </c>
    </row>
    <row r="282">
      <c r="A282" s="86"/>
      <c r="B282" s="101" t="s">
        <v>1197</v>
      </c>
      <c r="C282" s="83">
        <v>2.0</v>
      </c>
      <c r="D282" s="111" t="s">
        <v>1198</v>
      </c>
    </row>
    <row r="283">
      <c r="A283" s="86"/>
      <c r="B283" s="7"/>
      <c r="C283" s="7"/>
      <c r="D283" s="165" t="s">
        <v>1199</v>
      </c>
    </row>
    <row r="284">
      <c r="A284" s="86"/>
      <c r="B284" s="136" t="s">
        <v>1200</v>
      </c>
      <c r="C284" s="121">
        <v>1.0</v>
      </c>
      <c r="D284" s="74" t="s">
        <v>1201</v>
      </c>
    </row>
    <row r="285">
      <c r="A285" s="86"/>
      <c r="B285" s="136" t="s">
        <v>1202</v>
      </c>
      <c r="C285" s="121">
        <v>1.0</v>
      </c>
      <c r="D285" s="74" t="s">
        <v>1203</v>
      </c>
    </row>
    <row r="286">
      <c r="A286" s="86"/>
      <c r="B286" s="136" t="s">
        <v>1204</v>
      </c>
      <c r="C286" s="121">
        <v>1.0</v>
      </c>
      <c r="D286" s="74" t="s">
        <v>1205</v>
      </c>
    </row>
    <row r="287">
      <c r="A287" s="7"/>
      <c r="B287" s="136" t="s">
        <v>1026</v>
      </c>
      <c r="C287" s="121">
        <v>1.0</v>
      </c>
      <c r="D287" s="74" t="s">
        <v>1206</v>
      </c>
    </row>
    <row r="288">
      <c r="A288" s="121">
        <v>20.0</v>
      </c>
      <c r="B288" s="136" t="s">
        <v>1150</v>
      </c>
      <c r="C288" s="121">
        <v>1.0</v>
      </c>
      <c r="D288" s="74" t="s">
        <v>1207</v>
      </c>
    </row>
    <row r="289">
      <c r="A289" s="121">
        <v>19.0</v>
      </c>
      <c r="B289" s="136" t="s">
        <v>1208</v>
      </c>
      <c r="C289" s="121">
        <v>1.0</v>
      </c>
      <c r="D289" s="74" t="s">
        <v>1209</v>
      </c>
    </row>
    <row r="290">
      <c r="A290" s="121">
        <v>18.0</v>
      </c>
      <c r="B290" s="136" t="s">
        <v>1150</v>
      </c>
      <c r="C290" s="121">
        <v>1.0</v>
      </c>
      <c r="D290" s="74" t="s">
        <v>1210</v>
      </c>
    </row>
    <row r="291">
      <c r="A291" s="83">
        <v>17.0</v>
      </c>
      <c r="B291" s="101" t="s">
        <v>1211</v>
      </c>
      <c r="C291" s="83">
        <v>2.0</v>
      </c>
      <c r="D291" s="111" t="s">
        <v>1212</v>
      </c>
    </row>
    <row r="292">
      <c r="A292" s="7"/>
      <c r="B292" s="7"/>
      <c r="C292" s="7"/>
      <c r="D292" s="165" t="s">
        <v>1213</v>
      </c>
    </row>
    <row r="293">
      <c r="A293" s="10">
        <v>16.0</v>
      </c>
      <c r="B293" s="74" t="s">
        <v>1214</v>
      </c>
      <c r="C293" s="10">
        <v>1.0</v>
      </c>
      <c r="D293" s="74" t="s">
        <v>1215</v>
      </c>
    </row>
    <row r="294">
      <c r="A294" s="10">
        <v>15.0</v>
      </c>
      <c r="B294" s="74"/>
      <c r="C294" s="10"/>
      <c r="D294" s="74" t="s">
        <v>1216</v>
      </c>
    </row>
    <row r="295">
      <c r="A295" s="10">
        <v>14.0</v>
      </c>
      <c r="B295" s="74" t="s">
        <v>1217</v>
      </c>
      <c r="C295" s="10">
        <v>1.0</v>
      </c>
      <c r="D295" s="74" t="s">
        <v>1218</v>
      </c>
    </row>
    <row r="296">
      <c r="A296" s="10">
        <v>13.0</v>
      </c>
      <c r="B296" s="74" t="s">
        <v>1219</v>
      </c>
      <c r="C296" s="10">
        <v>1.0</v>
      </c>
      <c r="D296" s="74" t="s">
        <v>1220</v>
      </c>
    </row>
    <row r="297">
      <c r="A297" s="28"/>
      <c r="C297" s="28"/>
    </row>
    <row r="298">
      <c r="A298" s="28"/>
      <c r="C298" s="28"/>
    </row>
    <row r="299">
      <c r="A299" s="28"/>
      <c r="C299" s="28"/>
    </row>
    <row r="300">
      <c r="A300" s="28"/>
      <c r="C300" s="28"/>
    </row>
    <row r="301">
      <c r="A301" s="28"/>
      <c r="C301" s="28"/>
    </row>
    <row r="302">
      <c r="A302" s="28"/>
      <c r="C302" s="28"/>
    </row>
    <row r="303">
      <c r="A303" s="28"/>
      <c r="C303" s="28"/>
    </row>
    <row r="304">
      <c r="A304" s="28"/>
      <c r="C304" s="28"/>
    </row>
    <row r="305">
      <c r="A305" s="28"/>
      <c r="C305" s="28"/>
    </row>
    <row r="306">
      <c r="A306" s="28"/>
      <c r="C306" s="28"/>
    </row>
    <row r="307">
      <c r="A307" s="28"/>
      <c r="C307" s="28"/>
    </row>
    <row r="308">
      <c r="A308" s="28"/>
      <c r="C308" s="28"/>
    </row>
    <row r="309">
      <c r="A309" s="28"/>
      <c r="C309" s="28"/>
    </row>
    <row r="310">
      <c r="A310" s="28"/>
      <c r="C310" s="28"/>
    </row>
    <row r="311">
      <c r="A311" s="28"/>
      <c r="C311" s="28"/>
    </row>
    <row r="312">
      <c r="A312" s="28"/>
      <c r="C312" s="28"/>
    </row>
    <row r="313">
      <c r="A313" s="28"/>
      <c r="C313" s="28"/>
    </row>
    <row r="314">
      <c r="A314" s="28"/>
      <c r="C314" s="28"/>
    </row>
    <row r="315">
      <c r="A315" s="28"/>
      <c r="C315" s="28"/>
    </row>
    <row r="316">
      <c r="A316" s="28"/>
      <c r="C316" s="28"/>
    </row>
    <row r="317">
      <c r="A317" s="28"/>
      <c r="C317" s="28"/>
    </row>
    <row r="318">
      <c r="A318" s="28"/>
      <c r="C318" s="28"/>
    </row>
    <row r="319">
      <c r="A319" s="28"/>
      <c r="C319" s="28"/>
    </row>
    <row r="320">
      <c r="A320" s="28"/>
      <c r="C320" s="28"/>
    </row>
    <row r="321">
      <c r="A321" s="28"/>
      <c r="C321" s="28"/>
    </row>
    <row r="322">
      <c r="A322" s="28"/>
      <c r="C322" s="28"/>
    </row>
    <row r="323">
      <c r="A323" s="28"/>
      <c r="C323" s="28"/>
    </row>
    <row r="324">
      <c r="A324" s="28"/>
      <c r="C324" s="28"/>
    </row>
    <row r="325">
      <c r="A325" s="28"/>
      <c r="C325" s="28"/>
    </row>
    <row r="326">
      <c r="A326" s="28"/>
      <c r="C326" s="28"/>
    </row>
    <row r="327">
      <c r="A327" s="28"/>
      <c r="C327" s="28"/>
    </row>
    <row r="328">
      <c r="A328" s="28"/>
      <c r="C328" s="28"/>
    </row>
    <row r="329">
      <c r="A329" s="28"/>
      <c r="C329" s="28"/>
    </row>
    <row r="330">
      <c r="A330" s="28"/>
      <c r="C330" s="28"/>
    </row>
    <row r="331">
      <c r="A331" s="28"/>
      <c r="C331" s="28"/>
    </row>
    <row r="332">
      <c r="A332" s="28"/>
      <c r="C332" s="28"/>
    </row>
    <row r="333">
      <c r="A333" s="28"/>
      <c r="C333" s="28"/>
    </row>
    <row r="334">
      <c r="A334" s="28"/>
      <c r="C334" s="28"/>
    </row>
    <row r="335">
      <c r="A335" s="28"/>
      <c r="C335" s="28"/>
    </row>
    <row r="336">
      <c r="A336" s="28"/>
      <c r="C336" s="28"/>
    </row>
    <row r="337">
      <c r="A337" s="28"/>
      <c r="C337" s="28"/>
    </row>
    <row r="338">
      <c r="A338" s="28"/>
      <c r="C338" s="28"/>
    </row>
    <row r="339">
      <c r="A339" s="28"/>
      <c r="C339" s="28"/>
    </row>
    <row r="340">
      <c r="A340" s="28"/>
      <c r="C340" s="28"/>
    </row>
    <row r="341">
      <c r="A341" s="28"/>
      <c r="C341" s="28"/>
    </row>
    <row r="342">
      <c r="A342" s="28"/>
      <c r="C342" s="28"/>
    </row>
    <row r="343">
      <c r="A343" s="28"/>
      <c r="C343" s="28"/>
    </row>
    <row r="344">
      <c r="A344" s="28"/>
      <c r="C344" s="28"/>
    </row>
    <row r="345">
      <c r="A345" s="28"/>
      <c r="C345" s="28"/>
    </row>
    <row r="346">
      <c r="A346" s="28"/>
      <c r="C346" s="28"/>
    </row>
    <row r="347">
      <c r="A347" s="28"/>
      <c r="C347" s="28"/>
    </row>
    <row r="348">
      <c r="A348" s="28"/>
      <c r="C348" s="28"/>
    </row>
    <row r="349">
      <c r="A349" s="28"/>
      <c r="C349" s="28"/>
    </row>
    <row r="350">
      <c r="A350" s="28"/>
      <c r="C350" s="28"/>
    </row>
    <row r="351">
      <c r="A351" s="28"/>
      <c r="C351" s="28"/>
    </row>
    <row r="352">
      <c r="A352" s="28"/>
      <c r="C352" s="28"/>
    </row>
    <row r="353">
      <c r="A353" s="28"/>
      <c r="C353" s="28"/>
    </row>
    <row r="354">
      <c r="A354" s="28"/>
      <c r="C354" s="28"/>
    </row>
    <row r="355">
      <c r="A355" s="28"/>
      <c r="C355" s="28"/>
    </row>
    <row r="356">
      <c r="A356" s="28"/>
      <c r="C356" s="28"/>
    </row>
    <row r="357">
      <c r="A357" s="28"/>
      <c r="C357" s="28"/>
    </row>
    <row r="358">
      <c r="A358" s="28"/>
      <c r="C358" s="28"/>
    </row>
    <row r="359">
      <c r="A359" s="28"/>
      <c r="C359" s="28"/>
    </row>
    <row r="360">
      <c r="A360" s="28"/>
      <c r="C360" s="28"/>
    </row>
    <row r="361">
      <c r="A361" s="28"/>
      <c r="C361" s="28"/>
    </row>
    <row r="362">
      <c r="A362" s="28"/>
      <c r="C362" s="28"/>
    </row>
    <row r="363">
      <c r="A363" s="28"/>
      <c r="C363" s="28"/>
    </row>
    <row r="364">
      <c r="A364" s="28"/>
      <c r="C364" s="28"/>
    </row>
    <row r="365">
      <c r="A365" s="28"/>
      <c r="C365" s="28"/>
    </row>
    <row r="366">
      <c r="A366" s="28"/>
      <c r="C366" s="28"/>
    </row>
    <row r="367">
      <c r="A367" s="28"/>
      <c r="C367" s="28"/>
    </row>
    <row r="368">
      <c r="A368" s="28"/>
      <c r="C368" s="28"/>
    </row>
    <row r="369">
      <c r="A369" s="28"/>
      <c r="C369" s="28"/>
    </row>
    <row r="370">
      <c r="A370" s="28"/>
      <c r="C370" s="28"/>
    </row>
    <row r="371">
      <c r="A371" s="28"/>
      <c r="C371" s="28"/>
    </row>
    <row r="372">
      <c r="A372" s="28"/>
      <c r="C372" s="28"/>
    </row>
    <row r="373">
      <c r="A373" s="28"/>
      <c r="C373" s="28"/>
    </row>
    <row r="374">
      <c r="A374" s="28"/>
      <c r="C374" s="28"/>
    </row>
    <row r="375">
      <c r="A375" s="28"/>
      <c r="C375" s="28"/>
    </row>
    <row r="376">
      <c r="A376" s="28"/>
      <c r="C376" s="28"/>
    </row>
    <row r="377">
      <c r="A377" s="28"/>
      <c r="C377" s="28"/>
    </row>
    <row r="378">
      <c r="A378" s="28"/>
      <c r="C378" s="28"/>
    </row>
    <row r="379">
      <c r="A379" s="28"/>
      <c r="C379" s="28"/>
    </row>
    <row r="380">
      <c r="A380" s="28"/>
      <c r="C380" s="28"/>
    </row>
    <row r="381">
      <c r="A381" s="28"/>
      <c r="C381" s="28"/>
    </row>
    <row r="382">
      <c r="A382" s="28"/>
      <c r="C382" s="28"/>
    </row>
    <row r="383">
      <c r="A383" s="28"/>
      <c r="C383" s="28"/>
    </row>
    <row r="384">
      <c r="A384" s="28"/>
      <c r="C384" s="28"/>
    </row>
    <row r="385">
      <c r="A385" s="28"/>
      <c r="C385" s="28"/>
    </row>
    <row r="386">
      <c r="A386" s="28"/>
      <c r="C386" s="28"/>
    </row>
    <row r="387">
      <c r="A387" s="28"/>
      <c r="C387" s="28"/>
    </row>
    <row r="388">
      <c r="A388" s="28"/>
      <c r="C388" s="28"/>
    </row>
    <row r="389">
      <c r="A389" s="28"/>
      <c r="C389" s="28"/>
    </row>
    <row r="390">
      <c r="A390" s="28"/>
      <c r="C390" s="28"/>
    </row>
    <row r="391">
      <c r="A391" s="28"/>
      <c r="C391" s="28"/>
    </row>
    <row r="392">
      <c r="A392" s="28"/>
      <c r="C392" s="28"/>
    </row>
    <row r="393">
      <c r="A393" s="28"/>
      <c r="C393" s="28"/>
    </row>
    <row r="394">
      <c r="A394" s="28"/>
      <c r="C394" s="28"/>
    </row>
    <row r="395">
      <c r="A395" s="28"/>
      <c r="C395" s="28"/>
    </row>
    <row r="396">
      <c r="A396" s="28"/>
      <c r="C396" s="28"/>
    </row>
    <row r="397">
      <c r="A397" s="28"/>
      <c r="C397" s="28"/>
    </row>
    <row r="398">
      <c r="A398" s="28"/>
      <c r="C398" s="28"/>
    </row>
    <row r="399">
      <c r="A399" s="28"/>
      <c r="C399" s="28"/>
    </row>
    <row r="400">
      <c r="A400" s="28"/>
      <c r="C400" s="28"/>
    </row>
    <row r="401">
      <c r="A401" s="28"/>
      <c r="C401" s="28"/>
    </row>
    <row r="402">
      <c r="A402" s="28"/>
      <c r="C402" s="28"/>
    </row>
    <row r="403">
      <c r="A403" s="28"/>
      <c r="C403" s="28"/>
    </row>
    <row r="404">
      <c r="A404" s="28"/>
      <c r="C404" s="28"/>
    </row>
    <row r="405">
      <c r="A405" s="28"/>
      <c r="C405" s="28"/>
    </row>
    <row r="406">
      <c r="A406" s="28"/>
      <c r="C406" s="28"/>
    </row>
    <row r="407">
      <c r="A407" s="28"/>
      <c r="C407" s="28"/>
    </row>
    <row r="408">
      <c r="A408" s="28"/>
      <c r="C408" s="28"/>
    </row>
    <row r="409">
      <c r="A409" s="28"/>
      <c r="C409" s="28"/>
    </row>
    <row r="410">
      <c r="A410" s="28"/>
      <c r="C410" s="28"/>
    </row>
    <row r="411">
      <c r="A411" s="28"/>
      <c r="C411" s="28"/>
    </row>
    <row r="412">
      <c r="A412" s="28"/>
      <c r="C412" s="28"/>
    </row>
    <row r="413">
      <c r="A413" s="28"/>
      <c r="C413" s="28"/>
    </row>
    <row r="414">
      <c r="A414" s="28"/>
      <c r="C414" s="28"/>
    </row>
    <row r="415">
      <c r="A415" s="28"/>
      <c r="C415" s="28"/>
    </row>
    <row r="416">
      <c r="A416" s="28"/>
      <c r="C416" s="28"/>
    </row>
    <row r="417">
      <c r="A417" s="28"/>
      <c r="C417" s="28"/>
    </row>
    <row r="418">
      <c r="A418" s="28"/>
      <c r="C418" s="28"/>
    </row>
    <row r="419">
      <c r="A419" s="28"/>
      <c r="C419" s="28"/>
    </row>
    <row r="420">
      <c r="A420" s="28"/>
      <c r="C420" s="28"/>
    </row>
    <row r="421">
      <c r="A421" s="28"/>
      <c r="C421" s="28"/>
    </row>
    <row r="422">
      <c r="A422" s="28"/>
      <c r="C422" s="28"/>
    </row>
    <row r="423">
      <c r="A423" s="28"/>
      <c r="C423" s="28"/>
    </row>
    <row r="424">
      <c r="A424" s="28"/>
      <c r="C424" s="28"/>
    </row>
    <row r="425">
      <c r="A425" s="28"/>
      <c r="C425" s="28"/>
    </row>
    <row r="426">
      <c r="A426" s="28"/>
      <c r="C426" s="28"/>
    </row>
    <row r="427">
      <c r="A427" s="28"/>
      <c r="C427" s="28"/>
    </row>
    <row r="428">
      <c r="A428" s="28"/>
      <c r="C428" s="28"/>
    </row>
    <row r="429">
      <c r="A429" s="28"/>
      <c r="C429" s="28"/>
    </row>
    <row r="430">
      <c r="A430" s="28"/>
      <c r="C430" s="28"/>
    </row>
    <row r="431">
      <c r="A431" s="28"/>
      <c r="C431" s="28"/>
    </row>
    <row r="432">
      <c r="A432" s="28"/>
      <c r="C432" s="28"/>
    </row>
    <row r="433">
      <c r="A433" s="28"/>
      <c r="C433" s="28"/>
    </row>
    <row r="434">
      <c r="A434" s="28"/>
      <c r="C434" s="28"/>
    </row>
    <row r="435">
      <c r="A435" s="28"/>
      <c r="C435" s="28"/>
    </row>
    <row r="436">
      <c r="A436" s="28"/>
      <c r="C436" s="28"/>
    </row>
    <row r="437">
      <c r="A437" s="28"/>
      <c r="C437" s="28"/>
    </row>
    <row r="438">
      <c r="A438" s="28"/>
      <c r="C438" s="28"/>
    </row>
    <row r="439">
      <c r="A439" s="28"/>
      <c r="C439" s="28"/>
    </row>
    <row r="440">
      <c r="A440" s="28"/>
      <c r="C440" s="28"/>
    </row>
    <row r="441">
      <c r="A441" s="28"/>
      <c r="C441" s="28"/>
    </row>
    <row r="442">
      <c r="A442" s="28"/>
      <c r="C442" s="28"/>
    </row>
    <row r="443">
      <c r="A443" s="28"/>
      <c r="C443" s="28"/>
    </row>
    <row r="444">
      <c r="A444" s="28"/>
      <c r="C444" s="28"/>
    </row>
    <row r="445">
      <c r="A445" s="28"/>
      <c r="C445" s="28"/>
    </row>
    <row r="446">
      <c r="A446" s="28"/>
      <c r="C446" s="28"/>
    </row>
    <row r="447">
      <c r="A447" s="28"/>
      <c r="C447" s="28"/>
    </row>
    <row r="448">
      <c r="A448" s="28"/>
      <c r="C448" s="28"/>
    </row>
    <row r="449">
      <c r="A449" s="28"/>
      <c r="C449" s="28"/>
    </row>
    <row r="450">
      <c r="A450" s="28"/>
      <c r="C450" s="28"/>
    </row>
    <row r="451">
      <c r="A451" s="28"/>
      <c r="C451" s="28"/>
    </row>
    <row r="452">
      <c r="A452" s="28"/>
      <c r="C452" s="28"/>
    </row>
    <row r="453">
      <c r="A453" s="28"/>
      <c r="C453" s="28"/>
    </row>
    <row r="454">
      <c r="A454" s="28"/>
      <c r="C454" s="28"/>
    </row>
    <row r="455">
      <c r="A455" s="28"/>
      <c r="C455" s="28"/>
    </row>
    <row r="456">
      <c r="A456" s="28"/>
      <c r="C456" s="28"/>
    </row>
    <row r="457">
      <c r="A457" s="28"/>
      <c r="C457" s="28"/>
    </row>
    <row r="458">
      <c r="A458" s="28"/>
      <c r="C458" s="28"/>
    </row>
    <row r="459">
      <c r="A459" s="28"/>
      <c r="C459" s="28"/>
    </row>
    <row r="460">
      <c r="A460" s="28"/>
      <c r="C460" s="28"/>
    </row>
    <row r="461">
      <c r="A461" s="28"/>
      <c r="C461" s="28"/>
    </row>
    <row r="462">
      <c r="A462" s="28"/>
      <c r="C462" s="28"/>
    </row>
    <row r="463">
      <c r="A463" s="28"/>
      <c r="C463" s="28"/>
    </row>
    <row r="464">
      <c r="A464" s="28"/>
      <c r="C464" s="28"/>
    </row>
    <row r="465">
      <c r="A465" s="28"/>
      <c r="C465" s="28"/>
    </row>
    <row r="466">
      <c r="A466" s="28"/>
      <c r="C466" s="28"/>
    </row>
    <row r="467">
      <c r="A467" s="28"/>
      <c r="C467" s="28"/>
    </row>
    <row r="468">
      <c r="A468" s="28"/>
      <c r="C468" s="28"/>
    </row>
    <row r="469">
      <c r="A469" s="28"/>
      <c r="C469" s="28"/>
    </row>
    <row r="470">
      <c r="A470" s="28"/>
      <c r="C470" s="28"/>
    </row>
    <row r="471">
      <c r="A471" s="28"/>
      <c r="C471" s="28"/>
    </row>
    <row r="472">
      <c r="A472" s="28"/>
      <c r="C472" s="28"/>
    </row>
    <row r="473">
      <c r="A473" s="28"/>
      <c r="C473" s="28"/>
    </row>
    <row r="474">
      <c r="A474" s="28"/>
      <c r="C474" s="28"/>
    </row>
    <row r="475">
      <c r="A475" s="28"/>
      <c r="C475" s="28"/>
    </row>
    <row r="476">
      <c r="A476" s="28"/>
      <c r="C476" s="28"/>
    </row>
    <row r="477">
      <c r="A477" s="28"/>
      <c r="C477" s="28"/>
    </row>
    <row r="478">
      <c r="A478" s="28"/>
      <c r="C478" s="28"/>
    </row>
    <row r="479">
      <c r="A479" s="28"/>
      <c r="C479" s="28"/>
    </row>
    <row r="480">
      <c r="A480" s="28"/>
      <c r="C480" s="28"/>
    </row>
    <row r="481">
      <c r="A481" s="28"/>
      <c r="C481" s="28"/>
    </row>
    <row r="482">
      <c r="A482" s="28"/>
      <c r="C482" s="28"/>
    </row>
    <row r="483">
      <c r="A483" s="28"/>
      <c r="C483" s="28"/>
    </row>
    <row r="484">
      <c r="A484" s="28"/>
      <c r="C484" s="28"/>
    </row>
    <row r="485">
      <c r="A485" s="28"/>
      <c r="C485" s="28"/>
    </row>
    <row r="486">
      <c r="A486" s="28"/>
      <c r="C486" s="28"/>
    </row>
    <row r="487">
      <c r="A487" s="28"/>
      <c r="C487" s="28"/>
    </row>
    <row r="488">
      <c r="A488" s="28"/>
      <c r="C488" s="28"/>
    </row>
    <row r="489">
      <c r="A489" s="28"/>
      <c r="C489" s="28"/>
    </row>
    <row r="490">
      <c r="A490" s="28"/>
      <c r="C490" s="28"/>
    </row>
    <row r="491">
      <c r="A491" s="28"/>
      <c r="C491" s="28"/>
    </row>
    <row r="492">
      <c r="A492" s="28"/>
      <c r="C492" s="28"/>
    </row>
    <row r="493">
      <c r="A493" s="28"/>
      <c r="C493" s="28"/>
    </row>
    <row r="494">
      <c r="A494" s="28"/>
      <c r="C494" s="28"/>
    </row>
    <row r="495">
      <c r="A495" s="28"/>
      <c r="C495" s="28"/>
    </row>
    <row r="496">
      <c r="A496" s="28"/>
      <c r="C496" s="28"/>
    </row>
    <row r="497">
      <c r="A497" s="28"/>
      <c r="C497" s="28"/>
    </row>
    <row r="498">
      <c r="A498" s="28"/>
      <c r="C498" s="28"/>
    </row>
    <row r="499">
      <c r="A499" s="28"/>
      <c r="C499" s="28"/>
    </row>
    <row r="500">
      <c r="A500" s="28"/>
      <c r="C500" s="28"/>
    </row>
    <row r="501">
      <c r="A501" s="28"/>
      <c r="C501" s="28"/>
    </row>
    <row r="502">
      <c r="A502" s="28"/>
      <c r="C502" s="28"/>
    </row>
    <row r="503">
      <c r="A503" s="28"/>
      <c r="C503" s="28"/>
    </row>
    <row r="504">
      <c r="A504" s="28"/>
      <c r="C504" s="28"/>
    </row>
    <row r="505">
      <c r="A505" s="28"/>
      <c r="C505" s="28"/>
    </row>
    <row r="506">
      <c r="A506" s="28"/>
      <c r="C506" s="28"/>
    </row>
    <row r="507">
      <c r="A507" s="28"/>
      <c r="C507" s="28"/>
    </row>
    <row r="508">
      <c r="A508" s="28"/>
      <c r="C508" s="28"/>
    </row>
    <row r="509">
      <c r="A509" s="28"/>
      <c r="C509" s="28"/>
    </row>
    <row r="510">
      <c r="A510" s="28"/>
      <c r="C510" s="28"/>
    </row>
    <row r="511">
      <c r="A511" s="28"/>
      <c r="C511" s="28"/>
    </row>
    <row r="512">
      <c r="A512" s="28"/>
      <c r="C512" s="28"/>
    </row>
    <row r="513">
      <c r="A513" s="28"/>
      <c r="C513" s="28"/>
    </row>
    <row r="514">
      <c r="A514" s="28"/>
      <c r="C514" s="28"/>
    </row>
    <row r="515">
      <c r="A515" s="28"/>
      <c r="C515" s="28"/>
    </row>
    <row r="516">
      <c r="A516" s="28"/>
      <c r="C516" s="28"/>
    </row>
    <row r="517">
      <c r="A517" s="28"/>
      <c r="C517" s="28"/>
    </row>
    <row r="518">
      <c r="A518" s="28"/>
      <c r="C518" s="28"/>
    </row>
    <row r="519">
      <c r="A519" s="28"/>
      <c r="C519" s="28"/>
    </row>
    <row r="520">
      <c r="A520" s="28"/>
      <c r="C520" s="28"/>
    </row>
    <row r="521">
      <c r="A521" s="28"/>
      <c r="C521" s="28"/>
    </row>
    <row r="522">
      <c r="A522" s="28"/>
      <c r="C522" s="28"/>
    </row>
    <row r="523">
      <c r="A523" s="28"/>
      <c r="C523" s="28"/>
    </row>
    <row r="524">
      <c r="A524" s="28"/>
      <c r="C524" s="28"/>
    </row>
    <row r="525">
      <c r="A525" s="28"/>
      <c r="C525" s="28"/>
    </row>
    <row r="526">
      <c r="A526" s="28"/>
      <c r="C526" s="28"/>
    </row>
    <row r="527">
      <c r="A527" s="28"/>
      <c r="C527" s="28"/>
    </row>
    <row r="528">
      <c r="A528" s="28"/>
      <c r="C528" s="28"/>
    </row>
    <row r="529">
      <c r="A529" s="28"/>
      <c r="C529" s="28"/>
    </row>
    <row r="530">
      <c r="A530" s="28"/>
      <c r="C530" s="28"/>
    </row>
    <row r="531">
      <c r="A531" s="28"/>
      <c r="C531" s="28"/>
    </row>
    <row r="532">
      <c r="A532" s="28"/>
      <c r="C532" s="28"/>
    </row>
    <row r="533">
      <c r="A533" s="28"/>
      <c r="C533" s="28"/>
    </row>
    <row r="534">
      <c r="A534" s="28"/>
      <c r="C534" s="28"/>
    </row>
    <row r="535">
      <c r="A535" s="28"/>
      <c r="C535" s="28"/>
    </row>
    <row r="536">
      <c r="A536" s="28"/>
      <c r="C536" s="28"/>
    </row>
    <row r="537">
      <c r="A537" s="28"/>
      <c r="C537" s="28"/>
    </row>
    <row r="538">
      <c r="A538" s="28"/>
      <c r="C538" s="28"/>
    </row>
    <row r="539">
      <c r="A539" s="28"/>
      <c r="C539" s="28"/>
    </row>
    <row r="540">
      <c r="A540" s="28"/>
      <c r="C540" s="28"/>
    </row>
    <row r="541">
      <c r="A541" s="28"/>
      <c r="C541" s="28"/>
    </row>
    <row r="542">
      <c r="A542" s="28"/>
      <c r="C542" s="28"/>
    </row>
    <row r="543">
      <c r="A543" s="28"/>
      <c r="C543" s="28"/>
    </row>
    <row r="544">
      <c r="A544" s="28"/>
      <c r="C544" s="28"/>
    </row>
    <row r="545">
      <c r="A545" s="28"/>
      <c r="C545" s="28"/>
    </row>
    <row r="546">
      <c r="A546" s="28"/>
      <c r="C546" s="28"/>
    </row>
    <row r="547">
      <c r="A547" s="28"/>
      <c r="C547" s="28"/>
    </row>
    <row r="548">
      <c r="A548" s="28"/>
      <c r="C548" s="28"/>
    </row>
    <row r="549">
      <c r="A549" s="28"/>
      <c r="C549" s="28"/>
    </row>
    <row r="550">
      <c r="A550" s="28"/>
      <c r="C550" s="28"/>
    </row>
    <row r="551">
      <c r="A551" s="28"/>
      <c r="C551" s="28"/>
    </row>
    <row r="552">
      <c r="A552" s="28"/>
      <c r="C552" s="28"/>
    </row>
    <row r="553">
      <c r="A553" s="28"/>
      <c r="C553" s="28"/>
    </row>
    <row r="554">
      <c r="A554" s="28"/>
      <c r="C554" s="28"/>
    </row>
    <row r="555">
      <c r="A555" s="28"/>
      <c r="C555" s="28"/>
    </row>
    <row r="556">
      <c r="A556" s="28"/>
      <c r="C556" s="28"/>
    </row>
    <row r="557">
      <c r="A557" s="28"/>
      <c r="C557" s="28"/>
    </row>
    <row r="558">
      <c r="A558" s="28"/>
      <c r="C558" s="28"/>
    </row>
    <row r="559">
      <c r="A559" s="28"/>
      <c r="C559" s="28"/>
    </row>
    <row r="560">
      <c r="A560" s="28"/>
      <c r="C560" s="28"/>
    </row>
    <row r="561">
      <c r="A561" s="28"/>
      <c r="C561" s="28"/>
    </row>
    <row r="562">
      <c r="A562" s="28"/>
      <c r="C562" s="28"/>
    </row>
    <row r="563">
      <c r="A563" s="28"/>
      <c r="C563" s="28"/>
    </row>
    <row r="564">
      <c r="A564" s="28"/>
      <c r="C564" s="28"/>
    </row>
    <row r="565">
      <c r="A565" s="28"/>
      <c r="C565" s="28"/>
    </row>
    <row r="566">
      <c r="A566" s="28"/>
      <c r="C566" s="28"/>
    </row>
    <row r="567">
      <c r="A567" s="28"/>
      <c r="C567" s="28"/>
    </row>
    <row r="568">
      <c r="A568" s="28"/>
      <c r="C568" s="28"/>
    </row>
    <row r="569">
      <c r="A569" s="28"/>
      <c r="C569" s="28"/>
    </row>
    <row r="570">
      <c r="A570" s="28"/>
      <c r="C570" s="28"/>
    </row>
    <row r="571">
      <c r="A571" s="28"/>
      <c r="C571" s="28"/>
    </row>
    <row r="572">
      <c r="A572" s="28"/>
      <c r="C572" s="28"/>
    </row>
    <row r="573">
      <c r="A573" s="28"/>
      <c r="C573" s="28"/>
    </row>
    <row r="574">
      <c r="A574" s="28"/>
      <c r="C574" s="28"/>
    </row>
    <row r="575">
      <c r="A575" s="28"/>
      <c r="C575" s="28"/>
    </row>
    <row r="576">
      <c r="A576" s="28"/>
      <c r="C576" s="28"/>
    </row>
    <row r="577">
      <c r="A577" s="28"/>
      <c r="C577" s="28"/>
    </row>
    <row r="578">
      <c r="A578" s="28"/>
      <c r="C578" s="28"/>
    </row>
    <row r="579">
      <c r="A579" s="28"/>
      <c r="C579" s="28"/>
    </row>
    <row r="580">
      <c r="A580" s="28"/>
      <c r="C580" s="28"/>
    </row>
    <row r="581">
      <c r="A581" s="28"/>
      <c r="C581" s="28"/>
    </row>
    <row r="582">
      <c r="A582" s="28"/>
      <c r="C582" s="28"/>
    </row>
    <row r="583">
      <c r="A583" s="28"/>
      <c r="C583" s="28"/>
    </row>
    <row r="584">
      <c r="A584" s="28"/>
      <c r="C584" s="28"/>
    </row>
    <row r="585">
      <c r="A585" s="28"/>
      <c r="C585" s="28"/>
    </row>
    <row r="586">
      <c r="A586" s="28"/>
      <c r="C586" s="28"/>
    </row>
    <row r="587">
      <c r="A587" s="28"/>
      <c r="C587" s="28"/>
    </row>
    <row r="588">
      <c r="A588" s="28"/>
      <c r="C588" s="28"/>
    </row>
    <row r="589">
      <c r="A589" s="28"/>
      <c r="C589" s="28"/>
    </row>
    <row r="590">
      <c r="A590" s="28"/>
      <c r="C590" s="28"/>
    </row>
    <row r="591">
      <c r="A591" s="28"/>
      <c r="C591" s="28"/>
    </row>
    <row r="592">
      <c r="A592" s="28"/>
      <c r="C592" s="28"/>
    </row>
    <row r="593">
      <c r="A593" s="28"/>
      <c r="C593" s="28"/>
    </row>
    <row r="594">
      <c r="A594" s="28"/>
      <c r="C594" s="28"/>
    </row>
    <row r="595">
      <c r="A595" s="28"/>
      <c r="C595" s="28"/>
    </row>
    <row r="596">
      <c r="A596" s="28"/>
      <c r="C596" s="28"/>
    </row>
    <row r="597">
      <c r="A597" s="28"/>
      <c r="C597" s="28"/>
    </row>
    <row r="598">
      <c r="A598" s="28"/>
      <c r="C598" s="28"/>
    </row>
    <row r="599">
      <c r="A599" s="28"/>
      <c r="C599" s="28"/>
    </row>
    <row r="600">
      <c r="A600" s="28"/>
      <c r="C600" s="28"/>
    </row>
    <row r="601">
      <c r="A601" s="28"/>
      <c r="C601" s="28"/>
    </row>
    <row r="602">
      <c r="A602" s="28"/>
      <c r="C602" s="28"/>
    </row>
    <row r="603">
      <c r="A603" s="28"/>
      <c r="C603" s="28"/>
    </row>
    <row r="604">
      <c r="A604" s="28"/>
      <c r="C604" s="28"/>
    </row>
    <row r="605">
      <c r="A605" s="28"/>
      <c r="C605" s="28"/>
    </row>
    <row r="606">
      <c r="A606" s="28"/>
      <c r="C606" s="28"/>
    </row>
    <row r="607">
      <c r="A607" s="28"/>
      <c r="C607" s="28"/>
    </row>
    <row r="608">
      <c r="A608" s="28"/>
      <c r="C608" s="28"/>
    </row>
    <row r="609">
      <c r="A609" s="28"/>
      <c r="C609" s="28"/>
    </row>
    <row r="610">
      <c r="A610" s="28"/>
      <c r="C610" s="28"/>
    </row>
    <row r="611">
      <c r="A611" s="28"/>
      <c r="C611" s="28"/>
    </row>
    <row r="612">
      <c r="A612" s="28"/>
      <c r="C612" s="28"/>
    </row>
    <row r="613">
      <c r="A613" s="28"/>
      <c r="C613" s="28"/>
    </row>
    <row r="614">
      <c r="A614" s="28"/>
      <c r="C614" s="28"/>
    </row>
    <row r="615">
      <c r="A615" s="28"/>
      <c r="C615" s="28"/>
    </row>
    <row r="616">
      <c r="A616" s="28"/>
      <c r="C616" s="28"/>
    </row>
    <row r="617">
      <c r="A617" s="28"/>
      <c r="C617" s="28"/>
    </row>
    <row r="618">
      <c r="A618" s="28"/>
      <c r="C618" s="28"/>
    </row>
    <row r="619">
      <c r="A619" s="28"/>
      <c r="C619" s="28"/>
    </row>
    <row r="620">
      <c r="A620" s="28"/>
      <c r="C620" s="28"/>
    </row>
    <row r="621">
      <c r="A621" s="28"/>
      <c r="C621" s="28"/>
    </row>
    <row r="622">
      <c r="A622" s="28"/>
      <c r="C622" s="28"/>
    </row>
    <row r="623">
      <c r="A623" s="28"/>
      <c r="C623" s="28"/>
    </row>
    <row r="624">
      <c r="A624" s="28"/>
      <c r="C624" s="28"/>
    </row>
    <row r="625">
      <c r="A625" s="28"/>
      <c r="C625" s="28"/>
    </row>
    <row r="626">
      <c r="A626" s="28"/>
      <c r="C626" s="28"/>
    </row>
    <row r="627">
      <c r="A627" s="28"/>
      <c r="C627" s="28"/>
    </row>
    <row r="628">
      <c r="A628" s="28"/>
      <c r="C628" s="28"/>
    </row>
    <row r="629">
      <c r="A629" s="28"/>
      <c r="C629" s="28"/>
    </row>
    <row r="630">
      <c r="A630" s="28"/>
      <c r="C630" s="28"/>
    </row>
    <row r="631">
      <c r="A631" s="28"/>
      <c r="C631" s="28"/>
    </row>
    <row r="632">
      <c r="A632" s="28"/>
      <c r="C632" s="28"/>
    </row>
    <row r="633">
      <c r="A633" s="28"/>
      <c r="C633" s="28"/>
    </row>
    <row r="634">
      <c r="A634" s="28"/>
      <c r="C634" s="28"/>
    </row>
    <row r="635">
      <c r="A635" s="28"/>
      <c r="C635" s="28"/>
    </row>
    <row r="636">
      <c r="A636" s="28"/>
      <c r="C636" s="28"/>
    </row>
    <row r="637">
      <c r="A637" s="28"/>
      <c r="C637" s="28"/>
    </row>
    <row r="638">
      <c r="A638" s="28"/>
      <c r="C638" s="28"/>
    </row>
    <row r="639">
      <c r="A639" s="28"/>
      <c r="C639" s="28"/>
    </row>
    <row r="640">
      <c r="A640" s="28"/>
      <c r="C640" s="28"/>
    </row>
    <row r="641">
      <c r="A641" s="28"/>
      <c r="C641" s="28"/>
    </row>
    <row r="642">
      <c r="A642" s="28"/>
      <c r="C642" s="28"/>
    </row>
    <row r="643">
      <c r="A643" s="28"/>
      <c r="C643" s="28"/>
    </row>
    <row r="644">
      <c r="A644" s="28"/>
      <c r="C644" s="28"/>
    </row>
    <row r="645">
      <c r="A645" s="28"/>
      <c r="C645" s="28"/>
    </row>
    <row r="646">
      <c r="A646" s="28"/>
      <c r="C646" s="28"/>
    </row>
    <row r="647">
      <c r="A647" s="28"/>
      <c r="C647" s="28"/>
    </row>
    <row r="648">
      <c r="A648" s="28"/>
      <c r="C648" s="28"/>
    </row>
    <row r="649">
      <c r="A649" s="28"/>
      <c r="C649" s="28"/>
    </row>
    <row r="650">
      <c r="A650" s="28"/>
      <c r="C650" s="28"/>
    </row>
    <row r="651">
      <c r="A651" s="28"/>
      <c r="C651" s="28"/>
    </row>
    <row r="652">
      <c r="A652" s="28"/>
      <c r="C652" s="28"/>
    </row>
    <row r="653">
      <c r="A653" s="28"/>
      <c r="C653" s="28"/>
    </row>
    <row r="654">
      <c r="A654" s="28"/>
      <c r="C654" s="28"/>
    </row>
    <row r="655">
      <c r="A655" s="28"/>
      <c r="C655" s="28"/>
    </row>
    <row r="656">
      <c r="A656" s="28"/>
      <c r="C656" s="28"/>
    </row>
    <row r="657">
      <c r="A657" s="28"/>
      <c r="C657" s="28"/>
    </row>
    <row r="658">
      <c r="A658" s="28"/>
      <c r="C658" s="28"/>
    </row>
    <row r="659">
      <c r="A659" s="28"/>
      <c r="C659" s="28"/>
    </row>
    <row r="660">
      <c r="A660" s="28"/>
      <c r="C660" s="28"/>
    </row>
    <row r="661">
      <c r="A661" s="28"/>
      <c r="C661" s="28"/>
    </row>
    <row r="662">
      <c r="A662" s="28"/>
      <c r="C662" s="28"/>
    </row>
    <row r="663">
      <c r="A663" s="28"/>
      <c r="C663" s="28"/>
    </row>
    <row r="664">
      <c r="A664" s="28"/>
      <c r="C664" s="28"/>
    </row>
    <row r="665">
      <c r="A665" s="28"/>
      <c r="C665" s="28"/>
    </row>
    <row r="666">
      <c r="A666" s="28"/>
      <c r="C666" s="28"/>
    </row>
    <row r="667">
      <c r="A667" s="28"/>
      <c r="C667" s="28"/>
    </row>
    <row r="668">
      <c r="A668" s="28"/>
      <c r="C668" s="28"/>
    </row>
    <row r="669">
      <c r="A669" s="28"/>
      <c r="C669" s="28"/>
    </row>
    <row r="670">
      <c r="A670" s="28"/>
      <c r="C670" s="28"/>
    </row>
    <row r="671">
      <c r="A671" s="28"/>
      <c r="C671" s="28"/>
    </row>
    <row r="672">
      <c r="A672" s="28"/>
      <c r="C672" s="28"/>
    </row>
    <row r="673">
      <c r="A673" s="28"/>
      <c r="C673" s="28"/>
    </row>
    <row r="674">
      <c r="A674" s="28"/>
      <c r="C674" s="28"/>
    </row>
    <row r="675">
      <c r="A675" s="28"/>
      <c r="C675" s="28"/>
    </row>
    <row r="676">
      <c r="A676" s="28"/>
      <c r="C676" s="28"/>
    </row>
    <row r="677">
      <c r="A677" s="28"/>
      <c r="C677" s="28"/>
    </row>
    <row r="678">
      <c r="A678" s="28"/>
      <c r="C678" s="28"/>
    </row>
    <row r="679">
      <c r="A679" s="28"/>
      <c r="C679" s="28"/>
    </row>
    <row r="680">
      <c r="A680" s="28"/>
      <c r="C680" s="28"/>
    </row>
    <row r="681">
      <c r="A681" s="28"/>
      <c r="C681" s="28"/>
    </row>
    <row r="682">
      <c r="A682" s="28"/>
      <c r="C682" s="28"/>
    </row>
    <row r="683">
      <c r="A683" s="28"/>
      <c r="C683" s="28"/>
    </row>
    <row r="684">
      <c r="A684" s="28"/>
      <c r="C684" s="28"/>
    </row>
    <row r="685">
      <c r="A685" s="28"/>
      <c r="C685" s="28"/>
    </row>
    <row r="686">
      <c r="A686" s="28"/>
      <c r="C686" s="28"/>
    </row>
    <row r="687">
      <c r="A687" s="28"/>
      <c r="C687" s="28"/>
    </row>
    <row r="688">
      <c r="A688" s="28"/>
      <c r="C688" s="28"/>
    </row>
    <row r="689">
      <c r="A689" s="28"/>
      <c r="C689" s="28"/>
    </row>
    <row r="690">
      <c r="A690" s="28"/>
      <c r="C690" s="28"/>
    </row>
    <row r="691">
      <c r="A691" s="28"/>
      <c r="C691" s="28"/>
    </row>
    <row r="692">
      <c r="A692" s="28"/>
      <c r="C692" s="28"/>
    </row>
    <row r="693">
      <c r="A693" s="28"/>
      <c r="C693" s="28"/>
    </row>
    <row r="694">
      <c r="A694" s="28"/>
      <c r="C694" s="28"/>
    </row>
    <row r="695">
      <c r="A695" s="28"/>
      <c r="C695" s="28"/>
    </row>
    <row r="696">
      <c r="A696" s="28"/>
      <c r="C696" s="28"/>
    </row>
    <row r="697">
      <c r="A697" s="28"/>
      <c r="C697" s="28"/>
    </row>
    <row r="698">
      <c r="A698" s="28"/>
      <c r="C698" s="28"/>
    </row>
    <row r="699">
      <c r="A699" s="28"/>
      <c r="C699" s="28"/>
    </row>
    <row r="700">
      <c r="A700" s="28"/>
      <c r="C700" s="28"/>
    </row>
    <row r="701">
      <c r="A701" s="28"/>
      <c r="C701" s="28"/>
    </row>
    <row r="702">
      <c r="A702" s="28"/>
      <c r="C702" s="28"/>
    </row>
    <row r="703">
      <c r="A703" s="28"/>
      <c r="C703" s="28"/>
    </row>
    <row r="704">
      <c r="A704" s="28"/>
      <c r="C704" s="28"/>
    </row>
    <row r="705">
      <c r="A705" s="28"/>
      <c r="C705" s="28"/>
    </row>
    <row r="706">
      <c r="A706" s="28"/>
      <c r="C706" s="28"/>
    </row>
    <row r="707">
      <c r="A707" s="28"/>
      <c r="C707" s="28"/>
    </row>
    <row r="708">
      <c r="A708" s="28"/>
      <c r="C708" s="28"/>
    </row>
    <row r="709">
      <c r="A709" s="28"/>
      <c r="C709" s="28"/>
    </row>
    <row r="710">
      <c r="A710" s="28"/>
      <c r="C710" s="28"/>
    </row>
    <row r="711">
      <c r="A711" s="28"/>
      <c r="C711" s="28"/>
    </row>
    <row r="712">
      <c r="A712" s="28"/>
      <c r="C712" s="28"/>
    </row>
    <row r="713">
      <c r="A713" s="28"/>
      <c r="C713" s="28"/>
    </row>
    <row r="714">
      <c r="A714" s="28"/>
      <c r="C714" s="28"/>
    </row>
    <row r="715">
      <c r="A715" s="28"/>
      <c r="C715" s="28"/>
    </row>
    <row r="716">
      <c r="A716" s="28"/>
      <c r="C716" s="28"/>
    </row>
    <row r="717">
      <c r="A717" s="28"/>
      <c r="C717" s="28"/>
    </row>
    <row r="718">
      <c r="A718" s="28"/>
      <c r="C718" s="28"/>
    </row>
    <row r="719">
      <c r="A719" s="28"/>
      <c r="C719" s="28"/>
    </row>
    <row r="720">
      <c r="A720" s="28"/>
      <c r="C720" s="28"/>
    </row>
    <row r="721">
      <c r="A721" s="28"/>
      <c r="C721" s="28"/>
    </row>
    <row r="722">
      <c r="A722" s="28"/>
      <c r="C722" s="28"/>
    </row>
    <row r="723">
      <c r="A723" s="28"/>
      <c r="C723" s="28"/>
    </row>
    <row r="724">
      <c r="A724" s="28"/>
      <c r="C724" s="28"/>
    </row>
    <row r="725">
      <c r="A725" s="28"/>
      <c r="C725" s="28"/>
    </row>
    <row r="726">
      <c r="A726" s="28"/>
      <c r="C726" s="28"/>
    </row>
    <row r="727">
      <c r="A727" s="28"/>
      <c r="C727" s="28"/>
    </row>
    <row r="728">
      <c r="A728" s="28"/>
      <c r="C728" s="28"/>
    </row>
    <row r="729">
      <c r="A729" s="28"/>
      <c r="C729" s="28"/>
    </row>
    <row r="730">
      <c r="A730" s="28"/>
      <c r="C730" s="28"/>
    </row>
    <row r="731">
      <c r="A731" s="28"/>
      <c r="C731" s="28"/>
    </row>
    <row r="732">
      <c r="A732" s="28"/>
      <c r="C732" s="28"/>
    </row>
    <row r="733">
      <c r="A733" s="28"/>
      <c r="C733" s="28"/>
    </row>
    <row r="734">
      <c r="A734" s="28"/>
      <c r="C734" s="28"/>
    </row>
    <row r="735">
      <c r="A735" s="28"/>
      <c r="C735" s="28"/>
    </row>
    <row r="736">
      <c r="A736" s="28"/>
      <c r="C736" s="28"/>
    </row>
    <row r="737">
      <c r="A737" s="28"/>
      <c r="C737" s="28"/>
    </row>
    <row r="738">
      <c r="A738" s="28"/>
      <c r="C738" s="28"/>
    </row>
    <row r="739">
      <c r="A739" s="28"/>
      <c r="C739" s="28"/>
    </row>
    <row r="740">
      <c r="A740" s="28"/>
      <c r="C740" s="28"/>
    </row>
    <row r="741">
      <c r="A741" s="28"/>
      <c r="C741" s="28"/>
    </row>
    <row r="742">
      <c r="A742" s="28"/>
      <c r="C742" s="28"/>
    </row>
    <row r="743">
      <c r="A743" s="28"/>
      <c r="C743" s="28"/>
    </row>
    <row r="744">
      <c r="A744" s="28"/>
      <c r="C744" s="28"/>
    </row>
    <row r="745">
      <c r="A745" s="28"/>
      <c r="C745" s="28"/>
    </row>
    <row r="746">
      <c r="A746" s="28"/>
      <c r="C746" s="28"/>
    </row>
    <row r="747">
      <c r="A747" s="28"/>
      <c r="C747" s="28"/>
    </row>
    <row r="748">
      <c r="A748" s="28"/>
      <c r="C748" s="28"/>
    </row>
    <row r="749">
      <c r="A749" s="28"/>
      <c r="C749" s="28"/>
    </row>
    <row r="750">
      <c r="A750" s="28"/>
      <c r="C750" s="28"/>
    </row>
    <row r="751">
      <c r="A751" s="28"/>
      <c r="C751" s="28"/>
    </row>
    <row r="752">
      <c r="A752" s="28"/>
      <c r="C752" s="28"/>
    </row>
    <row r="753">
      <c r="A753" s="28"/>
      <c r="C753" s="28"/>
    </row>
    <row r="754">
      <c r="A754" s="28"/>
      <c r="C754" s="28"/>
    </row>
    <row r="755">
      <c r="A755" s="28"/>
      <c r="C755" s="28"/>
    </row>
    <row r="756">
      <c r="A756" s="28"/>
      <c r="C756" s="28"/>
    </row>
    <row r="757">
      <c r="A757" s="28"/>
      <c r="C757" s="28"/>
    </row>
    <row r="758">
      <c r="A758" s="28"/>
      <c r="C758" s="28"/>
    </row>
    <row r="759">
      <c r="A759" s="28"/>
      <c r="C759" s="28"/>
    </row>
    <row r="760">
      <c r="A760" s="28"/>
      <c r="C760" s="28"/>
    </row>
    <row r="761">
      <c r="A761" s="28"/>
      <c r="C761" s="28"/>
    </row>
    <row r="762">
      <c r="A762" s="28"/>
      <c r="C762" s="28"/>
    </row>
    <row r="763">
      <c r="A763" s="28"/>
      <c r="C763" s="28"/>
    </row>
    <row r="764">
      <c r="A764" s="28"/>
      <c r="C764" s="28"/>
    </row>
    <row r="765">
      <c r="A765" s="28"/>
      <c r="C765" s="28"/>
    </row>
    <row r="766">
      <c r="A766" s="28"/>
      <c r="C766" s="28"/>
    </row>
    <row r="767">
      <c r="A767" s="28"/>
      <c r="C767" s="28"/>
    </row>
    <row r="768">
      <c r="A768" s="28"/>
      <c r="C768" s="28"/>
    </row>
    <row r="769">
      <c r="A769" s="28"/>
      <c r="C769" s="28"/>
    </row>
    <row r="770">
      <c r="A770" s="28"/>
      <c r="C770" s="28"/>
    </row>
    <row r="771">
      <c r="A771" s="28"/>
      <c r="C771" s="28"/>
    </row>
    <row r="772">
      <c r="A772" s="28"/>
      <c r="C772" s="28"/>
    </row>
    <row r="773">
      <c r="A773" s="28"/>
      <c r="C773" s="28"/>
    </row>
    <row r="774">
      <c r="A774" s="28"/>
      <c r="C774" s="28"/>
    </row>
    <row r="775">
      <c r="A775" s="28"/>
      <c r="C775" s="28"/>
    </row>
    <row r="776">
      <c r="A776" s="28"/>
      <c r="C776" s="28"/>
    </row>
    <row r="777">
      <c r="A777" s="28"/>
      <c r="C777" s="28"/>
    </row>
    <row r="778">
      <c r="A778" s="28"/>
      <c r="C778" s="28"/>
    </row>
    <row r="779">
      <c r="A779" s="28"/>
      <c r="C779" s="28"/>
    </row>
    <row r="780">
      <c r="A780" s="28"/>
      <c r="C780" s="28"/>
    </row>
    <row r="781">
      <c r="A781" s="28"/>
      <c r="C781" s="28"/>
    </row>
    <row r="782">
      <c r="A782" s="28"/>
      <c r="C782" s="28"/>
    </row>
    <row r="783">
      <c r="A783" s="28"/>
      <c r="C783" s="28"/>
    </row>
    <row r="784">
      <c r="A784" s="28"/>
      <c r="C784" s="28"/>
    </row>
    <row r="785">
      <c r="A785" s="28"/>
      <c r="C785" s="28"/>
    </row>
    <row r="786">
      <c r="A786" s="28"/>
      <c r="C786" s="28"/>
    </row>
    <row r="787">
      <c r="A787" s="28"/>
      <c r="C787" s="28"/>
    </row>
    <row r="788">
      <c r="A788" s="28"/>
      <c r="C788" s="28"/>
    </row>
    <row r="789">
      <c r="A789" s="28"/>
      <c r="C789" s="28"/>
    </row>
    <row r="790">
      <c r="A790" s="28"/>
      <c r="C790" s="28"/>
    </row>
    <row r="791">
      <c r="A791" s="28"/>
      <c r="C791" s="28"/>
    </row>
    <row r="792">
      <c r="A792" s="28"/>
      <c r="C792" s="28"/>
    </row>
    <row r="793">
      <c r="A793" s="28"/>
      <c r="C793" s="28"/>
    </row>
    <row r="794">
      <c r="A794" s="28"/>
      <c r="C794" s="28"/>
    </row>
    <row r="795">
      <c r="A795" s="28"/>
      <c r="C795" s="28"/>
    </row>
    <row r="796">
      <c r="A796" s="28"/>
      <c r="C796" s="28"/>
    </row>
    <row r="797">
      <c r="A797" s="28"/>
      <c r="C797" s="28"/>
    </row>
    <row r="798">
      <c r="A798" s="28"/>
      <c r="C798" s="28"/>
    </row>
    <row r="799">
      <c r="A799" s="28"/>
      <c r="C799" s="28"/>
    </row>
    <row r="800">
      <c r="A800" s="28"/>
      <c r="C800" s="28"/>
    </row>
    <row r="801">
      <c r="A801" s="28"/>
      <c r="C801" s="28"/>
    </row>
    <row r="802">
      <c r="A802" s="28"/>
      <c r="C802" s="28"/>
    </row>
    <row r="803">
      <c r="A803" s="28"/>
      <c r="C803" s="28"/>
    </row>
    <row r="804">
      <c r="A804" s="28"/>
      <c r="C804" s="28"/>
    </row>
    <row r="805">
      <c r="A805" s="28"/>
      <c r="C805" s="28"/>
    </row>
    <row r="806">
      <c r="A806" s="28"/>
      <c r="C806" s="28"/>
    </row>
    <row r="807">
      <c r="A807" s="28"/>
      <c r="C807" s="28"/>
    </row>
    <row r="808">
      <c r="A808" s="28"/>
      <c r="C808" s="28"/>
    </row>
    <row r="809">
      <c r="A809" s="28"/>
      <c r="C809" s="28"/>
    </row>
    <row r="810">
      <c r="A810" s="28"/>
      <c r="C810" s="28"/>
    </row>
    <row r="811">
      <c r="A811" s="28"/>
      <c r="C811" s="28"/>
    </row>
    <row r="812">
      <c r="A812" s="28"/>
      <c r="C812" s="28"/>
    </row>
    <row r="813">
      <c r="A813" s="28"/>
      <c r="C813" s="28"/>
    </row>
    <row r="814">
      <c r="A814" s="28"/>
      <c r="C814" s="28"/>
    </row>
    <row r="815">
      <c r="A815" s="28"/>
      <c r="C815" s="28"/>
    </row>
    <row r="816">
      <c r="A816" s="28"/>
      <c r="C816" s="28"/>
    </row>
    <row r="817">
      <c r="A817" s="28"/>
      <c r="C817" s="28"/>
    </row>
    <row r="818">
      <c r="A818" s="28"/>
      <c r="C818" s="28"/>
    </row>
    <row r="819">
      <c r="A819" s="28"/>
      <c r="C819" s="28"/>
    </row>
    <row r="820">
      <c r="A820" s="28"/>
      <c r="C820" s="28"/>
    </row>
    <row r="821">
      <c r="A821" s="28"/>
      <c r="C821" s="28"/>
    </row>
    <row r="822">
      <c r="A822" s="28"/>
      <c r="C822" s="28"/>
    </row>
    <row r="823">
      <c r="A823" s="28"/>
      <c r="C823" s="28"/>
    </row>
    <row r="824">
      <c r="A824" s="28"/>
      <c r="C824" s="28"/>
    </row>
    <row r="825">
      <c r="A825" s="28"/>
      <c r="C825" s="28"/>
    </row>
    <row r="826">
      <c r="A826" s="28"/>
      <c r="C826" s="28"/>
    </row>
    <row r="827">
      <c r="A827" s="28"/>
      <c r="C827" s="28"/>
    </row>
    <row r="828">
      <c r="A828" s="28"/>
      <c r="C828" s="28"/>
    </row>
    <row r="829">
      <c r="A829" s="28"/>
      <c r="C829" s="28"/>
    </row>
    <row r="830">
      <c r="A830" s="28"/>
      <c r="C830" s="28"/>
    </row>
    <row r="831">
      <c r="A831" s="28"/>
      <c r="C831" s="28"/>
    </row>
    <row r="832">
      <c r="A832" s="28"/>
      <c r="C832" s="28"/>
    </row>
    <row r="833">
      <c r="A833" s="28"/>
      <c r="C833" s="28"/>
    </row>
    <row r="834">
      <c r="A834" s="28"/>
      <c r="C834" s="28"/>
    </row>
    <row r="835">
      <c r="A835" s="28"/>
      <c r="C835" s="28"/>
    </row>
    <row r="836">
      <c r="A836" s="28"/>
      <c r="C836" s="28"/>
    </row>
    <row r="837">
      <c r="A837" s="28"/>
      <c r="C837" s="28"/>
    </row>
    <row r="838">
      <c r="A838" s="28"/>
      <c r="C838" s="28"/>
    </row>
    <row r="839">
      <c r="A839" s="28"/>
      <c r="C839" s="28"/>
    </row>
    <row r="840">
      <c r="A840" s="28"/>
      <c r="C840" s="28"/>
    </row>
    <row r="841">
      <c r="A841" s="28"/>
      <c r="C841" s="28"/>
    </row>
    <row r="842">
      <c r="A842" s="28"/>
      <c r="C842" s="28"/>
    </row>
    <row r="843">
      <c r="A843" s="28"/>
      <c r="C843" s="28"/>
    </row>
    <row r="844">
      <c r="A844" s="28"/>
      <c r="C844" s="28"/>
    </row>
    <row r="845">
      <c r="A845" s="28"/>
      <c r="C845" s="28"/>
    </row>
    <row r="846">
      <c r="A846" s="28"/>
      <c r="C846" s="28"/>
    </row>
    <row r="847">
      <c r="A847" s="28"/>
      <c r="C847" s="28"/>
    </row>
    <row r="848">
      <c r="A848" s="28"/>
      <c r="C848" s="28"/>
    </row>
    <row r="849">
      <c r="A849" s="28"/>
      <c r="C849" s="28"/>
    </row>
    <row r="850">
      <c r="A850" s="28"/>
      <c r="C850" s="28"/>
    </row>
    <row r="851">
      <c r="A851" s="28"/>
      <c r="C851" s="28"/>
    </row>
    <row r="852">
      <c r="A852" s="28"/>
      <c r="C852" s="28"/>
    </row>
    <row r="853">
      <c r="A853" s="28"/>
      <c r="C853" s="28"/>
    </row>
    <row r="854">
      <c r="A854" s="28"/>
      <c r="C854" s="28"/>
    </row>
    <row r="855">
      <c r="A855" s="28"/>
      <c r="C855" s="28"/>
    </row>
    <row r="856">
      <c r="A856" s="28"/>
      <c r="C856" s="28"/>
    </row>
    <row r="857">
      <c r="A857" s="28"/>
      <c r="C857" s="28"/>
    </row>
    <row r="858">
      <c r="A858" s="28"/>
      <c r="C858" s="28"/>
    </row>
    <row r="859">
      <c r="A859" s="28"/>
      <c r="C859" s="28"/>
    </row>
    <row r="860">
      <c r="A860" s="28"/>
      <c r="C860" s="28"/>
    </row>
    <row r="861">
      <c r="A861" s="28"/>
      <c r="C861" s="28"/>
    </row>
    <row r="862">
      <c r="A862" s="28"/>
      <c r="C862" s="28"/>
    </row>
    <row r="863">
      <c r="A863" s="28"/>
      <c r="C863" s="28"/>
    </row>
    <row r="864">
      <c r="A864" s="28"/>
      <c r="C864" s="28"/>
    </row>
    <row r="865">
      <c r="A865" s="28"/>
      <c r="C865" s="28"/>
    </row>
    <row r="866">
      <c r="A866" s="28"/>
      <c r="C866" s="28"/>
    </row>
    <row r="867">
      <c r="A867" s="28"/>
      <c r="C867" s="28"/>
    </row>
    <row r="868">
      <c r="A868" s="28"/>
      <c r="C868" s="28"/>
    </row>
    <row r="869">
      <c r="A869" s="28"/>
      <c r="C869" s="28"/>
    </row>
    <row r="870">
      <c r="A870" s="28"/>
      <c r="C870" s="28"/>
    </row>
    <row r="871">
      <c r="A871" s="28"/>
      <c r="C871" s="28"/>
    </row>
    <row r="872">
      <c r="A872" s="28"/>
      <c r="C872" s="28"/>
    </row>
    <row r="873">
      <c r="A873" s="28"/>
      <c r="C873" s="28"/>
    </row>
    <row r="874">
      <c r="A874" s="28"/>
      <c r="C874" s="28"/>
    </row>
    <row r="875">
      <c r="A875" s="28"/>
      <c r="C875" s="28"/>
    </row>
    <row r="876">
      <c r="A876" s="28"/>
      <c r="C876" s="28"/>
    </row>
    <row r="877">
      <c r="A877" s="28"/>
      <c r="C877" s="28"/>
    </row>
    <row r="878">
      <c r="A878" s="28"/>
      <c r="C878" s="28"/>
    </row>
    <row r="879">
      <c r="A879" s="28"/>
      <c r="C879" s="28"/>
    </row>
    <row r="880">
      <c r="A880" s="28"/>
      <c r="C880" s="28"/>
    </row>
    <row r="881">
      <c r="A881" s="28"/>
      <c r="C881" s="28"/>
    </row>
    <row r="882">
      <c r="A882" s="28"/>
      <c r="C882" s="28"/>
    </row>
    <row r="883">
      <c r="A883" s="28"/>
      <c r="C883" s="28"/>
    </row>
    <row r="884">
      <c r="A884" s="28"/>
      <c r="C884" s="28"/>
    </row>
    <row r="885">
      <c r="A885" s="28"/>
      <c r="C885" s="28"/>
    </row>
    <row r="886">
      <c r="A886" s="28"/>
      <c r="C886" s="28"/>
    </row>
    <row r="887">
      <c r="A887" s="28"/>
      <c r="C887" s="28"/>
    </row>
    <row r="888">
      <c r="A888" s="28"/>
      <c r="C888" s="28"/>
    </row>
    <row r="889">
      <c r="A889" s="28"/>
      <c r="C889" s="28"/>
    </row>
    <row r="890">
      <c r="A890" s="28"/>
      <c r="C890" s="28"/>
    </row>
    <row r="891">
      <c r="A891" s="28"/>
      <c r="C891" s="28"/>
    </row>
    <row r="892">
      <c r="A892" s="28"/>
      <c r="C892" s="28"/>
    </row>
    <row r="893">
      <c r="A893" s="28"/>
      <c r="C893" s="28"/>
    </row>
    <row r="894">
      <c r="A894" s="28"/>
      <c r="C894" s="28"/>
    </row>
    <row r="895">
      <c r="A895" s="28"/>
      <c r="C895" s="28"/>
    </row>
    <row r="896">
      <c r="A896" s="28"/>
      <c r="C896" s="28"/>
    </row>
    <row r="897">
      <c r="A897" s="28"/>
      <c r="C897" s="28"/>
    </row>
    <row r="898">
      <c r="A898" s="28"/>
      <c r="C898" s="28"/>
    </row>
    <row r="899">
      <c r="A899" s="28"/>
      <c r="C899" s="28"/>
    </row>
    <row r="900">
      <c r="A900" s="28"/>
      <c r="C900" s="28"/>
    </row>
    <row r="901">
      <c r="A901" s="28"/>
      <c r="C901" s="28"/>
    </row>
    <row r="902">
      <c r="A902" s="28"/>
      <c r="C902" s="28"/>
    </row>
    <row r="903">
      <c r="A903" s="28"/>
      <c r="C903" s="28"/>
    </row>
    <row r="904">
      <c r="A904" s="28"/>
      <c r="C904" s="28"/>
    </row>
    <row r="905">
      <c r="A905" s="28"/>
      <c r="C905" s="28"/>
    </row>
    <row r="906">
      <c r="A906" s="28"/>
      <c r="C906" s="28"/>
    </row>
    <row r="907">
      <c r="A907" s="28"/>
      <c r="C907" s="28"/>
    </row>
    <row r="908">
      <c r="A908" s="28"/>
      <c r="C908" s="28"/>
    </row>
    <row r="909">
      <c r="A909" s="28"/>
      <c r="C909" s="28"/>
    </row>
    <row r="910">
      <c r="A910" s="28"/>
      <c r="C910" s="28"/>
    </row>
    <row r="911">
      <c r="A911" s="28"/>
      <c r="C911" s="28"/>
    </row>
    <row r="912">
      <c r="A912" s="28"/>
      <c r="C912" s="28"/>
    </row>
    <row r="913">
      <c r="A913" s="28"/>
      <c r="C913" s="28"/>
    </row>
    <row r="914">
      <c r="A914" s="28"/>
      <c r="C914" s="28"/>
    </row>
    <row r="915">
      <c r="A915" s="28"/>
      <c r="C915" s="28"/>
    </row>
    <row r="916">
      <c r="A916" s="28"/>
      <c r="C916" s="28"/>
    </row>
    <row r="917">
      <c r="A917" s="28"/>
      <c r="C917" s="28"/>
    </row>
    <row r="918">
      <c r="A918" s="28"/>
      <c r="C918" s="28"/>
    </row>
    <row r="919">
      <c r="A919" s="28"/>
      <c r="C919" s="28"/>
    </row>
    <row r="920">
      <c r="A920" s="28"/>
      <c r="C920" s="28"/>
    </row>
    <row r="921">
      <c r="A921" s="28"/>
      <c r="C921" s="28"/>
    </row>
    <row r="922">
      <c r="A922" s="28"/>
      <c r="C922" s="28"/>
    </row>
    <row r="923">
      <c r="A923" s="28"/>
      <c r="C923" s="28"/>
    </row>
    <row r="924">
      <c r="A924" s="28"/>
      <c r="C924" s="28"/>
    </row>
    <row r="925">
      <c r="A925" s="28"/>
      <c r="C925" s="28"/>
    </row>
    <row r="926">
      <c r="A926" s="28"/>
      <c r="C926" s="28"/>
    </row>
    <row r="927">
      <c r="A927" s="28"/>
      <c r="C927" s="28"/>
    </row>
    <row r="928">
      <c r="A928" s="28"/>
      <c r="C928" s="28"/>
    </row>
    <row r="929">
      <c r="A929" s="28"/>
      <c r="C929" s="28"/>
    </row>
    <row r="930">
      <c r="A930" s="28"/>
      <c r="C930" s="28"/>
    </row>
    <row r="931">
      <c r="A931" s="28"/>
      <c r="C931" s="28"/>
    </row>
    <row r="932">
      <c r="A932" s="28"/>
      <c r="C932" s="28"/>
    </row>
    <row r="933">
      <c r="A933" s="28"/>
      <c r="C933" s="28"/>
    </row>
    <row r="934">
      <c r="A934" s="28"/>
      <c r="C934" s="28"/>
    </row>
    <row r="935">
      <c r="A935" s="28"/>
      <c r="C935" s="28"/>
    </row>
    <row r="936">
      <c r="A936" s="28"/>
      <c r="C936" s="28"/>
    </row>
    <row r="937">
      <c r="A937" s="28"/>
      <c r="C937" s="28"/>
    </row>
    <row r="938">
      <c r="A938" s="28"/>
      <c r="C938" s="28"/>
    </row>
    <row r="939">
      <c r="A939" s="28"/>
      <c r="C939" s="28"/>
    </row>
    <row r="940">
      <c r="A940" s="28"/>
      <c r="C940" s="28"/>
    </row>
    <row r="941">
      <c r="A941" s="28"/>
      <c r="C941" s="28"/>
    </row>
    <row r="942">
      <c r="A942" s="28"/>
      <c r="C942" s="28"/>
    </row>
    <row r="943">
      <c r="A943" s="28"/>
      <c r="C943" s="28"/>
    </row>
    <row r="944">
      <c r="A944" s="28"/>
      <c r="C944" s="28"/>
    </row>
    <row r="945">
      <c r="A945" s="28"/>
      <c r="C945" s="28"/>
    </row>
    <row r="946">
      <c r="A946" s="28"/>
      <c r="C946" s="28"/>
    </row>
    <row r="947">
      <c r="A947" s="28"/>
      <c r="C947" s="28"/>
    </row>
    <row r="948">
      <c r="A948" s="28"/>
      <c r="C948" s="28"/>
    </row>
    <row r="949">
      <c r="A949" s="28"/>
      <c r="C949" s="28"/>
    </row>
    <row r="950">
      <c r="A950" s="28"/>
      <c r="C950" s="28"/>
    </row>
    <row r="951">
      <c r="A951" s="28"/>
      <c r="C951" s="28"/>
    </row>
    <row r="952">
      <c r="A952" s="28"/>
      <c r="C952" s="28"/>
    </row>
    <row r="953">
      <c r="A953" s="28"/>
      <c r="C953" s="28"/>
    </row>
    <row r="954">
      <c r="A954" s="28"/>
      <c r="C954" s="28"/>
    </row>
    <row r="955">
      <c r="A955" s="28"/>
      <c r="C955" s="28"/>
    </row>
    <row r="956">
      <c r="A956" s="28"/>
      <c r="C956" s="28"/>
    </row>
    <row r="957">
      <c r="A957" s="28"/>
      <c r="C957" s="28"/>
    </row>
    <row r="958">
      <c r="A958" s="28"/>
      <c r="C958" s="28"/>
    </row>
    <row r="959">
      <c r="A959" s="28"/>
      <c r="C959" s="28"/>
    </row>
    <row r="960">
      <c r="A960" s="28"/>
      <c r="C960" s="28"/>
    </row>
    <row r="961">
      <c r="A961" s="28"/>
      <c r="C961" s="28"/>
    </row>
    <row r="962">
      <c r="A962" s="28"/>
      <c r="C962" s="28"/>
    </row>
    <row r="963">
      <c r="A963" s="28"/>
      <c r="C963" s="28"/>
    </row>
    <row r="964">
      <c r="A964" s="28"/>
      <c r="C964" s="28"/>
    </row>
    <row r="965">
      <c r="A965" s="28"/>
      <c r="C965" s="28"/>
    </row>
    <row r="966">
      <c r="A966" s="28"/>
      <c r="C966" s="28"/>
    </row>
    <row r="967">
      <c r="A967" s="28"/>
      <c r="C967" s="28"/>
    </row>
    <row r="968">
      <c r="A968" s="28"/>
      <c r="C968" s="28"/>
    </row>
    <row r="969">
      <c r="A969" s="28"/>
      <c r="C969" s="28"/>
    </row>
    <row r="970">
      <c r="A970" s="28"/>
      <c r="C970" s="28"/>
    </row>
    <row r="971">
      <c r="A971" s="28"/>
      <c r="C971" s="28"/>
    </row>
    <row r="972">
      <c r="A972" s="28"/>
      <c r="C972" s="28"/>
    </row>
    <row r="973">
      <c r="A973" s="28"/>
      <c r="C973" s="28"/>
    </row>
    <row r="974">
      <c r="A974" s="28"/>
      <c r="C974" s="28"/>
    </row>
    <row r="975">
      <c r="A975" s="28"/>
      <c r="C975" s="28"/>
    </row>
    <row r="976">
      <c r="A976" s="28"/>
      <c r="C976" s="28"/>
    </row>
    <row r="977">
      <c r="A977" s="28"/>
      <c r="C977" s="28"/>
    </row>
    <row r="978">
      <c r="A978" s="28"/>
      <c r="C978" s="28"/>
    </row>
    <row r="979">
      <c r="A979" s="28"/>
      <c r="C979" s="28"/>
    </row>
    <row r="980">
      <c r="A980" s="28"/>
      <c r="C980" s="28"/>
    </row>
    <row r="981">
      <c r="A981" s="28"/>
      <c r="C981" s="28"/>
    </row>
    <row r="982">
      <c r="A982" s="28"/>
      <c r="C982" s="28"/>
    </row>
    <row r="983">
      <c r="A983" s="28"/>
      <c r="C983" s="28"/>
    </row>
    <row r="984">
      <c r="A984" s="28"/>
      <c r="C984" s="28"/>
    </row>
    <row r="985">
      <c r="A985" s="28"/>
      <c r="C985" s="28"/>
    </row>
    <row r="986">
      <c r="A986" s="28"/>
      <c r="C986" s="28"/>
    </row>
    <row r="987">
      <c r="A987" s="28"/>
      <c r="C987" s="28"/>
    </row>
    <row r="988">
      <c r="A988" s="28"/>
      <c r="C988" s="28"/>
    </row>
    <row r="989">
      <c r="A989" s="28"/>
      <c r="C989" s="28"/>
    </row>
    <row r="990">
      <c r="A990" s="28"/>
      <c r="C990" s="28"/>
    </row>
    <row r="991">
      <c r="A991" s="28"/>
      <c r="C991" s="28"/>
    </row>
    <row r="992">
      <c r="A992" s="28"/>
      <c r="C992" s="28"/>
    </row>
    <row r="993">
      <c r="A993" s="28"/>
      <c r="C993" s="28"/>
    </row>
    <row r="994">
      <c r="A994" s="28"/>
      <c r="C994" s="28"/>
    </row>
    <row r="995">
      <c r="A995" s="28"/>
      <c r="C995" s="28"/>
    </row>
    <row r="996">
      <c r="A996" s="28"/>
      <c r="C996" s="28"/>
    </row>
    <row r="997">
      <c r="A997" s="28"/>
      <c r="C997" s="28"/>
    </row>
    <row r="998">
      <c r="A998" s="28"/>
      <c r="C998" s="28"/>
    </row>
    <row r="999">
      <c r="A999" s="28"/>
      <c r="C999" s="28"/>
    </row>
    <row r="1000">
      <c r="A1000" s="28"/>
      <c r="C1000" s="28"/>
    </row>
    <row r="1001">
      <c r="A1001" s="28"/>
      <c r="C1001" s="28"/>
    </row>
    <row r="1002">
      <c r="A1002" s="28"/>
      <c r="C1002" s="28"/>
    </row>
    <row r="1003">
      <c r="A1003" s="28"/>
      <c r="C1003" s="28"/>
    </row>
    <row r="1004">
      <c r="A1004" s="28"/>
      <c r="C1004" s="28"/>
    </row>
    <row r="1005">
      <c r="A1005" s="28"/>
      <c r="C1005" s="28"/>
    </row>
    <row r="1006">
      <c r="A1006" s="28"/>
      <c r="C1006" s="28"/>
    </row>
    <row r="1007">
      <c r="A1007" s="28"/>
      <c r="C1007" s="28"/>
    </row>
    <row r="1008">
      <c r="A1008" s="28"/>
      <c r="C1008" s="28"/>
    </row>
    <row r="1009">
      <c r="A1009" s="28"/>
      <c r="C1009" s="28"/>
    </row>
    <row r="1010">
      <c r="A1010" s="28"/>
      <c r="C1010" s="28"/>
    </row>
    <row r="1011">
      <c r="A1011" s="28"/>
      <c r="C1011" s="28"/>
    </row>
    <row r="1012">
      <c r="A1012" s="28"/>
      <c r="C1012" s="28"/>
    </row>
    <row r="1013">
      <c r="A1013" s="28"/>
      <c r="C1013" s="28"/>
    </row>
    <row r="1014">
      <c r="A1014" s="28"/>
      <c r="C1014" s="28"/>
    </row>
    <row r="1015">
      <c r="A1015" s="28"/>
      <c r="C1015" s="28"/>
    </row>
    <row r="1016">
      <c r="A1016" s="28"/>
      <c r="C1016" s="28"/>
    </row>
    <row r="1017">
      <c r="A1017" s="28"/>
      <c r="C1017" s="28"/>
    </row>
    <row r="1018">
      <c r="A1018" s="28"/>
      <c r="C1018" s="28"/>
    </row>
    <row r="1019">
      <c r="A1019" s="28"/>
      <c r="C1019" s="28"/>
    </row>
    <row r="1020">
      <c r="A1020" s="28"/>
      <c r="C1020" s="28"/>
    </row>
    <row r="1021">
      <c r="A1021" s="28"/>
      <c r="C1021" s="28"/>
    </row>
    <row r="1022">
      <c r="A1022" s="28"/>
      <c r="C1022" s="28"/>
    </row>
    <row r="1023">
      <c r="A1023" s="28"/>
      <c r="C1023" s="28"/>
    </row>
    <row r="1024">
      <c r="A1024" s="28"/>
      <c r="C1024" s="28"/>
    </row>
    <row r="1025">
      <c r="A1025" s="28"/>
      <c r="C1025" s="28"/>
    </row>
    <row r="1026">
      <c r="A1026" s="28"/>
      <c r="C1026" s="28"/>
    </row>
    <row r="1027">
      <c r="A1027" s="28"/>
      <c r="C1027" s="28"/>
    </row>
    <row r="1028">
      <c r="A1028" s="28"/>
      <c r="C1028" s="28"/>
    </row>
    <row r="1029">
      <c r="A1029" s="28"/>
      <c r="C1029" s="28"/>
    </row>
    <row r="1030">
      <c r="A1030" s="28"/>
      <c r="C1030" s="28"/>
    </row>
    <row r="1031">
      <c r="A1031" s="28"/>
      <c r="C1031" s="28"/>
    </row>
    <row r="1032">
      <c r="A1032" s="28"/>
      <c r="C1032" s="28"/>
    </row>
    <row r="1033">
      <c r="A1033" s="28"/>
      <c r="C1033" s="28"/>
    </row>
    <row r="1034">
      <c r="A1034" s="28"/>
      <c r="C1034" s="28"/>
    </row>
    <row r="1035">
      <c r="A1035" s="28"/>
      <c r="C1035" s="28"/>
    </row>
    <row r="1036">
      <c r="A1036" s="28"/>
      <c r="C1036" s="28"/>
    </row>
    <row r="1037">
      <c r="A1037" s="28"/>
      <c r="C1037" s="28"/>
    </row>
    <row r="1038">
      <c r="A1038" s="28"/>
      <c r="C1038" s="28"/>
    </row>
    <row r="1039">
      <c r="A1039" s="28"/>
      <c r="C1039" s="28"/>
    </row>
    <row r="1040">
      <c r="A1040" s="28"/>
      <c r="C1040" s="28"/>
    </row>
    <row r="1041">
      <c r="A1041" s="28"/>
      <c r="C1041" s="28"/>
    </row>
    <row r="1042">
      <c r="A1042" s="28"/>
      <c r="C1042" s="28"/>
    </row>
    <row r="1043">
      <c r="A1043" s="28"/>
      <c r="C1043" s="28"/>
    </row>
    <row r="1044">
      <c r="A1044" s="28"/>
      <c r="C1044" s="28"/>
    </row>
    <row r="1045">
      <c r="A1045" s="28"/>
      <c r="C1045" s="28"/>
    </row>
    <row r="1046">
      <c r="A1046" s="28"/>
      <c r="C1046" s="28"/>
    </row>
    <row r="1047">
      <c r="A1047" s="28"/>
      <c r="C1047" s="28"/>
    </row>
    <row r="1048">
      <c r="A1048" s="28"/>
      <c r="C1048" s="28"/>
    </row>
    <row r="1049">
      <c r="A1049" s="28"/>
      <c r="C1049" s="28"/>
    </row>
    <row r="1050">
      <c r="A1050" s="28"/>
      <c r="C1050" s="28"/>
    </row>
    <row r="1051">
      <c r="A1051" s="28"/>
      <c r="C1051" s="28"/>
    </row>
    <row r="1052">
      <c r="A1052" s="28"/>
      <c r="C1052" s="28"/>
    </row>
    <row r="1053">
      <c r="A1053" s="28"/>
      <c r="C1053" s="28"/>
    </row>
    <row r="1054">
      <c r="A1054" s="28"/>
      <c r="C1054" s="28"/>
    </row>
    <row r="1055">
      <c r="A1055" s="28"/>
      <c r="C1055" s="28"/>
    </row>
    <row r="1056">
      <c r="A1056" s="28"/>
      <c r="C1056" s="28"/>
    </row>
    <row r="1057">
      <c r="A1057" s="28"/>
      <c r="C1057" s="28"/>
    </row>
    <row r="1058">
      <c r="A1058" s="28"/>
      <c r="C1058" s="28"/>
    </row>
    <row r="1059">
      <c r="A1059" s="28"/>
      <c r="C1059" s="28"/>
    </row>
    <row r="1060">
      <c r="A1060" s="28"/>
      <c r="C1060" s="28"/>
    </row>
    <row r="1061">
      <c r="A1061" s="28"/>
      <c r="C1061" s="28"/>
    </row>
    <row r="1062">
      <c r="A1062" s="28"/>
      <c r="C1062" s="28"/>
    </row>
    <row r="1063">
      <c r="A1063" s="28"/>
      <c r="C1063" s="28"/>
    </row>
    <row r="1064">
      <c r="A1064" s="28"/>
      <c r="C1064" s="28"/>
    </row>
    <row r="1065">
      <c r="A1065" s="28"/>
      <c r="C1065" s="28"/>
    </row>
    <row r="1066">
      <c r="A1066" s="28"/>
      <c r="C1066" s="28"/>
    </row>
    <row r="1067">
      <c r="A1067" s="28"/>
      <c r="C1067" s="28"/>
    </row>
    <row r="1068">
      <c r="A1068" s="28"/>
      <c r="C1068" s="28"/>
    </row>
    <row r="1069">
      <c r="A1069" s="28"/>
      <c r="C1069" s="28"/>
    </row>
    <row r="1070">
      <c r="A1070" s="28"/>
      <c r="C1070" s="28"/>
    </row>
    <row r="1071">
      <c r="A1071" s="28"/>
      <c r="C1071" s="28"/>
    </row>
    <row r="1072">
      <c r="A1072" s="28"/>
      <c r="C1072" s="28"/>
    </row>
    <row r="1073">
      <c r="A1073" s="28"/>
      <c r="C1073" s="28"/>
    </row>
    <row r="1074">
      <c r="A1074" s="28"/>
      <c r="C1074" s="28"/>
    </row>
    <row r="1075">
      <c r="A1075" s="28"/>
      <c r="C1075" s="28"/>
    </row>
    <row r="1076">
      <c r="A1076" s="28"/>
      <c r="C1076" s="28"/>
    </row>
    <row r="1077">
      <c r="A1077" s="28"/>
      <c r="C1077" s="28"/>
    </row>
    <row r="1078">
      <c r="A1078" s="28"/>
      <c r="C1078" s="28"/>
    </row>
    <row r="1079">
      <c r="A1079" s="28"/>
      <c r="C1079" s="28"/>
    </row>
    <row r="1080">
      <c r="A1080" s="28"/>
      <c r="C1080" s="28"/>
    </row>
    <row r="1081">
      <c r="A1081" s="28"/>
      <c r="C1081" s="28"/>
    </row>
    <row r="1082">
      <c r="A1082" s="28"/>
      <c r="C1082" s="28"/>
    </row>
    <row r="1083">
      <c r="A1083" s="28"/>
      <c r="C1083" s="28"/>
    </row>
    <row r="1084">
      <c r="A1084" s="28"/>
      <c r="C1084" s="28"/>
    </row>
    <row r="1085">
      <c r="A1085" s="28"/>
      <c r="C1085" s="28"/>
    </row>
    <row r="1086">
      <c r="A1086" s="28"/>
      <c r="C1086" s="28"/>
    </row>
    <row r="1087">
      <c r="A1087" s="28"/>
      <c r="C1087" s="28"/>
    </row>
    <row r="1088">
      <c r="A1088" s="28"/>
      <c r="C1088" s="28"/>
    </row>
    <row r="1089">
      <c r="A1089" s="28"/>
      <c r="C1089" s="28"/>
    </row>
    <row r="1090">
      <c r="A1090" s="28"/>
      <c r="C1090" s="28"/>
    </row>
    <row r="1091">
      <c r="A1091" s="28"/>
      <c r="C1091" s="28"/>
    </row>
    <row r="1092">
      <c r="A1092" s="28"/>
      <c r="C1092" s="28"/>
    </row>
    <row r="1093">
      <c r="A1093" s="28"/>
      <c r="C1093" s="28"/>
    </row>
    <row r="1094">
      <c r="A1094" s="28"/>
      <c r="C1094" s="28"/>
    </row>
    <row r="1095">
      <c r="A1095" s="28"/>
      <c r="C1095" s="28"/>
    </row>
    <row r="1096">
      <c r="A1096" s="28"/>
      <c r="C1096" s="28"/>
    </row>
    <row r="1097">
      <c r="A1097" s="28"/>
      <c r="C1097" s="28"/>
    </row>
    <row r="1098">
      <c r="A1098" s="28"/>
      <c r="C1098" s="28"/>
    </row>
    <row r="1099">
      <c r="A1099" s="28"/>
      <c r="C1099" s="28"/>
    </row>
    <row r="1100">
      <c r="A1100" s="28"/>
      <c r="C1100" s="28"/>
    </row>
    <row r="1101">
      <c r="A1101" s="28"/>
      <c r="C1101" s="28"/>
    </row>
    <row r="1102">
      <c r="A1102" s="28"/>
      <c r="C1102" s="28"/>
    </row>
    <row r="1103">
      <c r="A1103" s="28"/>
      <c r="C1103" s="28"/>
    </row>
    <row r="1104">
      <c r="A1104" s="28"/>
      <c r="C1104" s="28"/>
    </row>
    <row r="1105">
      <c r="A1105" s="28"/>
      <c r="C1105" s="28"/>
    </row>
    <row r="1106">
      <c r="A1106" s="28"/>
      <c r="C1106" s="28"/>
    </row>
    <row r="1107">
      <c r="A1107" s="28"/>
      <c r="C1107" s="28"/>
    </row>
    <row r="1108">
      <c r="A1108" s="28"/>
      <c r="C1108" s="28"/>
    </row>
    <row r="1109">
      <c r="A1109" s="28"/>
      <c r="C1109" s="28"/>
    </row>
    <row r="1110">
      <c r="A1110" s="28"/>
      <c r="C1110" s="28"/>
    </row>
    <row r="1111">
      <c r="A1111" s="28"/>
      <c r="C1111" s="28"/>
    </row>
    <row r="1112">
      <c r="A1112" s="28"/>
      <c r="C1112" s="28"/>
    </row>
    <row r="1113">
      <c r="A1113" s="28"/>
      <c r="C1113" s="28"/>
    </row>
    <row r="1114">
      <c r="A1114" s="28"/>
      <c r="C1114" s="28"/>
    </row>
    <row r="1115">
      <c r="A1115" s="28"/>
      <c r="C1115" s="28"/>
    </row>
    <row r="1116">
      <c r="A1116" s="28"/>
      <c r="C1116" s="28"/>
    </row>
    <row r="1117">
      <c r="A1117" s="28"/>
      <c r="C1117" s="28"/>
    </row>
    <row r="1118">
      <c r="A1118" s="28"/>
      <c r="C1118" s="28"/>
    </row>
    <row r="1119">
      <c r="A1119" s="28"/>
      <c r="C1119" s="28"/>
    </row>
    <row r="1120">
      <c r="A1120" s="28"/>
      <c r="C1120" s="28"/>
    </row>
    <row r="1121">
      <c r="A1121" s="28"/>
      <c r="C1121" s="28"/>
    </row>
    <row r="1122">
      <c r="A1122" s="28"/>
      <c r="C1122" s="28"/>
    </row>
    <row r="1123">
      <c r="A1123" s="28"/>
      <c r="C1123" s="28"/>
    </row>
    <row r="1124">
      <c r="A1124" s="28"/>
      <c r="C1124" s="28"/>
    </row>
    <row r="1125">
      <c r="A1125" s="28"/>
      <c r="C1125" s="28"/>
    </row>
    <row r="1126">
      <c r="A1126" s="28"/>
      <c r="C1126" s="28"/>
    </row>
    <row r="1127">
      <c r="A1127" s="28"/>
      <c r="C1127" s="28"/>
    </row>
    <row r="1128">
      <c r="A1128" s="28"/>
      <c r="C1128" s="28"/>
    </row>
    <row r="1129">
      <c r="A1129" s="28"/>
      <c r="C1129" s="28"/>
    </row>
    <row r="1130">
      <c r="A1130" s="28"/>
      <c r="C1130" s="28"/>
    </row>
    <row r="1131">
      <c r="A1131" s="28"/>
      <c r="C1131" s="28"/>
    </row>
    <row r="1132">
      <c r="A1132" s="28"/>
      <c r="C1132" s="28"/>
    </row>
    <row r="1133">
      <c r="A1133" s="28"/>
      <c r="C1133" s="28"/>
    </row>
    <row r="1134">
      <c r="A1134" s="28"/>
      <c r="C1134" s="28"/>
    </row>
    <row r="1135">
      <c r="A1135" s="28"/>
      <c r="C1135" s="28"/>
    </row>
    <row r="1136">
      <c r="A1136" s="28"/>
      <c r="C1136" s="28"/>
    </row>
    <row r="1137">
      <c r="A1137" s="28"/>
      <c r="C1137" s="28"/>
    </row>
    <row r="1138">
      <c r="A1138" s="28"/>
      <c r="C1138" s="28"/>
    </row>
    <row r="1139">
      <c r="A1139" s="28"/>
      <c r="C1139" s="28"/>
    </row>
    <row r="1140">
      <c r="A1140" s="28"/>
      <c r="C1140" s="28"/>
    </row>
    <row r="1141">
      <c r="A1141" s="28"/>
      <c r="C1141" s="28"/>
    </row>
    <row r="1142">
      <c r="A1142" s="28"/>
      <c r="C1142" s="28"/>
    </row>
    <row r="1143">
      <c r="A1143" s="28"/>
      <c r="C1143" s="28"/>
    </row>
    <row r="1144">
      <c r="A1144" s="28"/>
      <c r="C1144" s="28"/>
    </row>
    <row r="1145">
      <c r="A1145" s="28"/>
      <c r="C1145" s="28"/>
    </row>
    <row r="1146">
      <c r="A1146" s="28"/>
      <c r="C1146" s="28"/>
    </row>
    <row r="1147">
      <c r="A1147" s="28"/>
      <c r="C1147" s="28"/>
    </row>
    <row r="1148">
      <c r="A1148" s="28"/>
      <c r="C1148" s="28"/>
    </row>
    <row r="1149">
      <c r="A1149" s="28"/>
      <c r="C1149" s="28"/>
    </row>
    <row r="1150">
      <c r="A1150" s="28"/>
      <c r="C1150" s="28"/>
    </row>
    <row r="1151">
      <c r="A1151" s="28"/>
      <c r="C1151" s="28"/>
    </row>
    <row r="1152">
      <c r="A1152" s="28"/>
      <c r="C1152" s="28"/>
    </row>
    <row r="1153">
      <c r="A1153" s="28"/>
      <c r="C1153" s="28"/>
    </row>
    <row r="1154">
      <c r="A1154" s="28"/>
      <c r="C1154" s="28"/>
    </row>
    <row r="1155">
      <c r="A1155" s="28"/>
      <c r="C1155" s="28"/>
    </row>
    <row r="1156">
      <c r="A1156" s="28"/>
      <c r="C1156" s="28"/>
    </row>
    <row r="1157">
      <c r="A1157" s="28"/>
      <c r="C1157" s="28"/>
    </row>
    <row r="1158">
      <c r="A1158" s="28"/>
      <c r="C1158" s="28"/>
    </row>
    <row r="1159">
      <c r="A1159" s="28"/>
      <c r="C1159" s="28"/>
    </row>
    <row r="1160">
      <c r="A1160" s="28"/>
      <c r="C1160" s="28"/>
    </row>
    <row r="1161">
      <c r="A1161" s="28"/>
      <c r="C1161" s="28"/>
    </row>
    <row r="1162">
      <c r="A1162" s="28"/>
      <c r="C1162" s="28"/>
    </row>
    <row r="1163">
      <c r="A1163" s="28"/>
      <c r="C1163" s="28"/>
    </row>
    <row r="1164">
      <c r="A1164" s="28"/>
      <c r="C1164" s="28"/>
    </row>
    <row r="1165">
      <c r="A1165" s="28"/>
      <c r="C1165" s="28"/>
    </row>
    <row r="1166">
      <c r="A1166" s="28"/>
      <c r="C1166" s="28"/>
    </row>
    <row r="1167">
      <c r="A1167" s="28"/>
      <c r="C1167" s="28"/>
    </row>
    <row r="1168">
      <c r="A1168" s="28"/>
      <c r="C1168" s="28"/>
    </row>
    <row r="1169">
      <c r="A1169" s="28"/>
      <c r="C1169" s="28"/>
    </row>
    <row r="1170">
      <c r="A1170" s="28"/>
      <c r="C1170" s="28"/>
    </row>
    <row r="1171">
      <c r="A1171" s="28"/>
      <c r="C1171" s="28"/>
    </row>
    <row r="1172">
      <c r="A1172" s="28"/>
      <c r="C1172" s="28"/>
    </row>
    <row r="1173">
      <c r="A1173" s="28"/>
      <c r="C1173" s="28"/>
    </row>
    <row r="1174">
      <c r="A1174" s="28"/>
      <c r="C1174" s="28"/>
    </row>
    <row r="1175">
      <c r="A1175" s="28"/>
      <c r="C1175" s="28"/>
    </row>
    <row r="1176">
      <c r="A1176" s="28"/>
      <c r="C1176" s="28"/>
    </row>
    <row r="1177">
      <c r="A1177" s="28"/>
      <c r="C1177" s="28"/>
    </row>
    <row r="1178">
      <c r="A1178" s="28"/>
      <c r="C1178" s="28"/>
    </row>
    <row r="1179">
      <c r="A1179" s="28"/>
      <c r="C1179" s="28"/>
    </row>
    <row r="1180">
      <c r="A1180" s="28"/>
      <c r="C1180" s="28"/>
    </row>
    <row r="1181">
      <c r="A1181" s="28"/>
      <c r="C1181" s="28"/>
    </row>
    <row r="1182">
      <c r="A1182" s="28"/>
      <c r="C1182" s="28"/>
    </row>
    <row r="1183">
      <c r="A1183" s="28"/>
      <c r="C1183" s="28"/>
    </row>
    <row r="1184">
      <c r="A1184" s="28"/>
      <c r="C1184" s="28"/>
    </row>
    <row r="1185">
      <c r="A1185" s="28"/>
      <c r="C1185" s="28"/>
    </row>
    <row r="1186">
      <c r="A1186" s="28"/>
      <c r="C1186" s="28"/>
    </row>
    <row r="1187">
      <c r="A1187" s="28"/>
      <c r="C1187" s="28"/>
    </row>
    <row r="1188">
      <c r="A1188" s="28"/>
      <c r="C1188" s="28"/>
    </row>
    <row r="1189">
      <c r="A1189" s="28"/>
      <c r="C1189" s="28"/>
    </row>
    <row r="1190">
      <c r="A1190" s="28"/>
      <c r="C1190" s="28"/>
    </row>
    <row r="1191">
      <c r="A1191" s="28"/>
      <c r="C1191" s="28"/>
    </row>
    <row r="1192">
      <c r="A1192" s="28"/>
      <c r="C1192" s="28"/>
    </row>
    <row r="1193">
      <c r="A1193" s="28"/>
      <c r="C1193" s="28"/>
    </row>
    <row r="1194">
      <c r="A1194" s="28"/>
      <c r="C1194" s="28"/>
    </row>
    <row r="1195">
      <c r="A1195" s="28"/>
      <c r="C1195" s="28"/>
    </row>
    <row r="1196">
      <c r="A1196" s="28"/>
      <c r="C1196" s="28"/>
    </row>
    <row r="1197">
      <c r="A1197" s="28"/>
      <c r="C1197" s="28"/>
    </row>
    <row r="1198">
      <c r="A1198" s="28"/>
      <c r="C1198" s="28"/>
    </row>
    <row r="1199">
      <c r="A1199" s="28"/>
      <c r="C1199" s="28"/>
    </row>
    <row r="1200">
      <c r="A1200" s="28"/>
      <c r="C1200" s="28"/>
    </row>
    <row r="1201">
      <c r="A1201" s="28"/>
      <c r="C1201" s="28"/>
    </row>
    <row r="1202">
      <c r="A1202" s="28"/>
      <c r="C1202" s="28"/>
    </row>
    <row r="1203">
      <c r="A1203" s="28"/>
      <c r="C1203" s="28"/>
    </row>
    <row r="1204">
      <c r="A1204" s="28"/>
      <c r="C1204" s="28"/>
    </row>
    <row r="1205">
      <c r="A1205" s="28"/>
      <c r="C1205" s="28"/>
    </row>
    <row r="1206">
      <c r="A1206" s="28"/>
      <c r="C1206" s="28"/>
    </row>
    <row r="1207">
      <c r="A1207" s="28"/>
      <c r="C1207" s="28"/>
    </row>
    <row r="1208">
      <c r="A1208" s="28"/>
      <c r="C1208" s="28"/>
    </row>
    <row r="1209">
      <c r="A1209" s="28"/>
      <c r="C1209" s="28"/>
    </row>
    <row r="1210">
      <c r="A1210" s="28"/>
      <c r="C1210" s="28"/>
    </row>
    <row r="1211">
      <c r="A1211" s="28"/>
      <c r="C1211" s="28"/>
    </row>
    <row r="1212">
      <c r="A1212" s="28"/>
      <c r="C1212" s="28"/>
    </row>
    <row r="1213">
      <c r="A1213" s="28"/>
      <c r="C1213" s="28"/>
    </row>
    <row r="1214">
      <c r="A1214" s="28"/>
      <c r="C1214" s="28"/>
    </row>
    <row r="1215">
      <c r="A1215" s="28"/>
      <c r="C1215" s="28"/>
    </row>
    <row r="1216">
      <c r="A1216" s="28"/>
      <c r="C1216" s="28"/>
    </row>
    <row r="1217">
      <c r="A1217" s="28"/>
      <c r="C1217" s="28"/>
    </row>
    <row r="1218">
      <c r="A1218" s="28"/>
      <c r="C1218" s="28"/>
    </row>
    <row r="1219">
      <c r="A1219" s="28"/>
      <c r="C1219" s="28"/>
    </row>
    <row r="1220">
      <c r="A1220" s="28"/>
      <c r="C1220" s="28"/>
    </row>
    <row r="1221">
      <c r="A1221" s="28"/>
      <c r="C1221" s="28"/>
    </row>
    <row r="1222">
      <c r="A1222" s="28"/>
      <c r="C1222" s="28"/>
    </row>
    <row r="1223">
      <c r="A1223" s="28"/>
      <c r="C1223" s="28"/>
    </row>
    <row r="1224">
      <c r="A1224" s="28"/>
      <c r="C1224" s="28"/>
    </row>
    <row r="1225">
      <c r="A1225" s="28"/>
      <c r="C1225" s="28"/>
    </row>
    <row r="1226">
      <c r="A1226" s="28"/>
      <c r="C1226" s="28"/>
    </row>
    <row r="1227">
      <c r="A1227" s="28"/>
      <c r="C1227" s="28"/>
    </row>
    <row r="1228">
      <c r="A1228" s="28"/>
      <c r="C1228" s="28"/>
    </row>
    <row r="1229">
      <c r="A1229" s="28"/>
      <c r="C1229" s="28"/>
    </row>
    <row r="1230">
      <c r="A1230" s="28"/>
      <c r="C1230" s="28"/>
    </row>
    <row r="1231">
      <c r="A1231" s="28"/>
      <c r="C1231" s="28"/>
    </row>
    <row r="1232">
      <c r="A1232" s="28"/>
      <c r="C1232" s="28"/>
    </row>
    <row r="1233">
      <c r="A1233" s="28"/>
      <c r="C1233" s="28"/>
    </row>
    <row r="1234">
      <c r="A1234" s="28"/>
      <c r="C1234" s="28"/>
    </row>
    <row r="1235">
      <c r="A1235" s="28"/>
      <c r="C1235" s="28"/>
    </row>
    <row r="1236">
      <c r="A1236" s="28"/>
      <c r="C1236" s="28"/>
    </row>
    <row r="1237">
      <c r="A1237" s="28"/>
      <c r="C1237" s="28"/>
    </row>
    <row r="1238">
      <c r="A1238" s="28"/>
      <c r="C1238" s="28"/>
    </row>
    <row r="1239">
      <c r="A1239" s="28"/>
      <c r="C1239" s="28"/>
    </row>
    <row r="1240">
      <c r="A1240" s="28"/>
      <c r="C1240" s="28"/>
    </row>
    <row r="1241">
      <c r="A1241" s="28"/>
      <c r="C1241" s="28"/>
    </row>
    <row r="1242">
      <c r="A1242" s="28"/>
      <c r="C1242" s="28"/>
    </row>
    <row r="1243">
      <c r="A1243" s="28"/>
      <c r="C1243" s="28"/>
    </row>
    <row r="1244">
      <c r="A1244" s="28"/>
      <c r="C1244" s="28"/>
    </row>
    <row r="1245">
      <c r="A1245" s="28"/>
      <c r="C1245" s="28"/>
    </row>
    <row r="1246">
      <c r="A1246" s="28"/>
      <c r="C1246" s="28"/>
    </row>
    <row r="1247">
      <c r="A1247" s="28"/>
      <c r="C1247" s="28"/>
    </row>
    <row r="1248">
      <c r="A1248" s="28"/>
      <c r="C1248" s="28"/>
    </row>
    <row r="1249">
      <c r="A1249" s="28"/>
      <c r="C1249" s="28"/>
    </row>
    <row r="1250">
      <c r="A1250" s="28"/>
      <c r="C1250" s="28"/>
    </row>
    <row r="1251">
      <c r="A1251" s="28"/>
      <c r="C1251" s="28"/>
    </row>
    <row r="1252">
      <c r="A1252" s="28"/>
      <c r="C1252" s="28"/>
    </row>
    <row r="1253">
      <c r="A1253" s="28"/>
      <c r="C1253" s="28"/>
    </row>
    <row r="1254">
      <c r="A1254" s="28"/>
      <c r="C1254" s="28"/>
    </row>
    <row r="1255">
      <c r="A1255" s="28"/>
      <c r="C1255" s="28"/>
    </row>
    <row r="1256">
      <c r="A1256" s="28"/>
      <c r="C1256" s="28"/>
    </row>
    <row r="1257">
      <c r="A1257" s="28"/>
      <c r="C1257" s="28"/>
    </row>
    <row r="1258">
      <c r="A1258" s="28"/>
      <c r="C1258" s="28"/>
    </row>
    <row r="1259">
      <c r="A1259" s="28"/>
      <c r="C1259" s="28"/>
    </row>
    <row r="1260">
      <c r="A1260" s="28"/>
      <c r="C1260" s="28"/>
    </row>
    <row r="1261">
      <c r="A1261" s="28"/>
      <c r="C1261" s="28"/>
    </row>
    <row r="1262">
      <c r="A1262" s="28"/>
      <c r="C1262" s="28"/>
    </row>
    <row r="1263">
      <c r="A1263" s="28"/>
      <c r="C1263" s="28"/>
    </row>
    <row r="1264">
      <c r="A1264" s="28"/>
      <c r="C1264" s="28"/>
    </row>
    <row r="1265">
      <c r="A1265" s="28"/>
      <c r="C1265" s="28"/>
    </row>
    <row r="1266">
      <c r="A1266" s="28"/>
      <c r="C1266" s="28"/>
    </row>
    <row r="1267">
      <c r="A1267" s="28"/>
      <c r="C1267" s="28"/>
    </row>
    <row r="1268">
      <c r="A1268" s="28"/>
      <c r="C1268" s="28"/>
    </row>
    <row r="1269">
      <c r="A1269" s="28"/>
      <c r="C1269" s="28"/>
    </row>
    <row r="1270">
      <c r="A1270" s="28"/>
      <c r="C1270" s="28"/>
    </row>
    <row r="1271">
      <c r="A1271" s="28"/>
      <c r="C1271" s="28"/>
    </row>
    <row r="1272">
      <c r="A1272" s="28"/>
      <c r="C1272" s="28"/>
    </row>
    <row r="1273">
      <c r="A1273" s="28"/>
      <c r="C1273" s="28"/>
    </row>
  </sheetData>
  <mergeCells count="131">
    <mergeCell ref="C91:C93"/>
    <mergeCell ref="C94:C95"/>
    <mergeCell ref="C96:C97"/>
    <mergeCell ref="C105:C109"/>
    <mergeCell ref="C110:C111"/>
    <mergeCell ref="C112:C113"/>
    <mergeCell ref="A91:A104"/>
    <mergeCell ref="B91:B93"/>
    <mergeCell ref="B94:B95"/>
    <mergeCell ref="B96:B97"/>
    <mergeCell ref="B105:B109"/>
    <mergeCell ref="B110:B111"/>
    <mergeCell ref="B112:B113"/>
    <mergeCell ref="B133:B135"/>
    <mergeCell ref="C133:C135"/>
    <mergeCell ref="A105:A118"/>
    <mergeCell ref="B119:B122"/>
    <mergeCell ref="C119:C122"/>
    <mergeCell ref="B123:B125"/>
    <mergeCell ref="C123:C125"/>
    <mergeCell ref="B126:B128"/>
    <mergeCell ref="C126:C128"/>
    <mergeCell ref="B147:B148"/>
    <mergeCell ref="C147:C148"/>
    <mergeCell ref="A119:A132"/>
    <mergeCell ref="B136:B137"/>
    <mergeCell ref="C136:C137"/>
    <mergeCell ref="B138:B139"/>
    <mergeCell ref="C138:C139"/>
    <mergeCell ref="B140:B141"/>
    <mergeCell ref="C140:C141"/>
    <mergeCell ref="A1:D1"/>
    <mergeCell ref="B3:B5"/>
    <mergeCell ref="C3:C5"/>
    <mergeCell ref="B6:B8"/>
    <mergeCell ref="C6:C8"/>
    <mergeCell ref="B9:B10"/>
    <mergeCell ref="C9:C10"/>
    <mergeCell ref="B77:B80"/>
    <mergeCell ref="C77:C80"/>
    <mergeCell ref="B81:B82"/>
    <mergeCell ref="C81:C82"/>
    <mergeCell ref="B83:B84"/>
    <mergeCell ref="C83:C84"/>
    <mergeCell ref="B85:B86"/>
    <mergeCell ref="C85:C86"/>
    <mergeCell ref="A3:A17"/>
    <mergeCell ref="A63:A76"/>
    <mergeCell ref="B63:B68"/>
    <mergeCell ref="C63:C68"/>
    <mergeCell ref="B69:B70"/>
    <mergeCell ref="C69:C70"/>
    <mergeCell ref="A77:A90"/>
    <mergeCell ref="B164:B165"/>
    <mergeCell ref="C164:C165"/>
    <mergeCell ref="B217:B219"/>
    <mergeCell ref="B220:B222"/>
    <mergeCell ref="A203:A216"/>
    <mergeCell ref="B203:B205"/>
    <mergeCell ref="B206:B208"/>
    <mergeCell ref="B209:B210"/>
    <mergeCell ref="B211:B212"/>
    <mergeCell ref="B213:B214"/>
    <mergeCell ref="A217:A230"/>
    <mergeCell ref="B250:B253"/>
    <mergeCell ref="B254:B256"/>
    <mergeCell ref="B245:B249"/>
    <mergeCell ref="B259:B263"/>
    <mergeCell ref="B274:B275"/>
    <mergeCell ref="B276:B277"/>
    <mergeCell ref="B278:B279"/>
    <mergeCell ref="B280:B281"/>
    <mergeCell ref="B282:B283"/>
    <mergeCell ref="B291:B292"/>
    <mergeCell ref="A259:A273"/>
    <mergeCell ref="A274:A287"/>
    <mergeCell ref="A291:A292"/>
    <mergeCell ref="A231:A244"/>
    <mergeCell ref="B231:B233"/>
    <mergeCell ref="B234:B235"/>
    <mergeCell ref="B236:B237"/>
    <mergeCell ref="B238:B239"/>
    <mergeCell ref="A245:A258"/>
    <mergeCell ref="B264:B267"/>
    <mergeCell ref="C223:C224"/>
    <mergeCell ref="C225:C226"/>
    <mergeCell ref="C231:C233"/>
    <mergeCell ref="C234:C235"/>
    <mergeCell ref="C236:C237"/>
    <mergeCell ref="C238:C239"/>
    <mergeCell ref="C245:C249"/>
    <mergeCell ref="C280:C281"/>
    <mergeCell ref="C282:C283"/>
    <mergeCell ref="C291:C292"/>
    <mergeCell ref="C250:C253"/>
    <mergeCell ref="C254:C256"/>
    <mergeCell ref="C259:C263"/>
    <mergeCell ref="C264:C267"/>
    <mergeCell ref="C274:C275"/>
    <mergeCell ref="C276:C277"/>
    <mergeCell ref="C278:C279"/>
    <mergeCell ref="B166:B167"/>
    <mergeCell ref="C166:C167"/>
    <mergeCell ref="A133:A146"/>
    <mergeCell ref="A147:A160"/>
    <mergeCell ref="B149:B150"/>
    <mergeCell ref="C149:C150"/>
    <mergeCell ref="A161:A174"/>
    <mergeCell ref="B161:B163"/>
    <mergeCell ref="C161:C163"/>
    <mergeCell ref="B189:B190"/>
    <mergeCell ref="B191:B192"/>
    <mergeCell ref="C191:C192"/>
    <mergeCell ref="B193:B194"/>
    <mergeCell ref="C193:C194"/>
    <mergeCell ref="A175:A188"/>
    <mergeCell ref="B175:B181"/>
    <mergeCell ref="C175:C181"/>
    <mergeCell ref="B182:B183"/>
    <mergeCell ref="C182:C183"/>
    <mergeCell ref="A189:A202"/>
    <mergeCell ref="C189:C190"/>
    <mergeCell ref="B223:B224"/>
    <mergeCell ref="B225:B226"/>
    <mergeCell ref="C203:C205"/>
    <mergeCell ref="C206:C208"/>
    <mergeCell ref="C209:C210"/>
    <mergeCell ref="C211:C212"/>
    <mergeCell ref="C213:C214"/>
    <mergeCell ref="C217:C219"/>
    <mergeCell ref="C220:C22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5.14"/>
    <col customWidth="1" min="2" max="2" width="8.71"/>
    <col customWidth="1" min="3" max="3" width="8.0"/>
    <col customWidth="1" min="4" max="5" width="10.14"/>
    <col customWidth="1" min="6" max="6" width="11.57"/>
    <col customWidth="1" min="7" max="7" width="7.29"/>
    <col customWidth="1" min="8" max="8" width="8.0"/>
    <col customWidth="1" min="9" max="9" width="10.86"/>
    <col customWidth="1" min="10" max="10" width="15.29"/>
    <col customWidth="1" min="11" max="11" width="14.43"/>
    <col customWidth="1" min="12" max="12" width="10.29"/>
    <col customWidth="1" min="13" max="14" width="14.43"/>
    <col customWidth="1" min="15" max="19" width="7.29"/>
    <col customWidth="1" min="20" max="20" width="10.14"/>
  </cols>
  <sheetData>
    <row r="1">
      <c r="A1" s="174" t="s">
        <v>1221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>
      <c r="A2" s="175" t="s">
        <v>1</v>
      </c>
      <c r="B2" s="176" t="s">
        <v>2</v>
      </c>
      <c r="C2" s="176" t="s">
        <v>3</v>
      </c>
      <c r="D2" s="176" t="s">
        <v>4</v>
      </c>
      <c r="E2" s="177" t="s">
        <v>5</v>
      </c>
      <c r="F2" s="177" t="s">
        <v>6</v>
      </c>
      <c r="G2" s="176" t="s">
        <v>7</v>
      </c>
      <c r="H2" s="176" t="s">
        <v>8</v>
      </c>
      <c r="I2" s="176" t="s">
        <v>9</v>
      </c>
      <c r="J2" s="176" t="s">
        <v>10</v>
      </c>
      <c r="K2" s="176" t="s">
        <v>11</v>
      </c>
      <c r="L2" s="174" t="s">
        <v>12</v>
      </c>
      <c r="M2" s="2"/>
      <c r="N2" s="3"/>
      <c r="O2" s="176" t="s">
        <v>13</v>
      </c>
      <c r="P2" s="176" t="s">
        <v>14</v>
      </c>
      <c r="Q2" s="176" t="s">
        <v>15</v>
      </c>
      <c r="R2" s="176" t="s">
        <v>16</v>
      </c>
      <c r="S2" s="176" t="s">
        <v>17</v>
      </c>
      <c r="T2" s="176" t="s">
        <v>18</v>
      </c>
      <c r="U2" s="176" t="s">
        <v>19</v>
      </c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178" t="s">
        <v>20</v>
      </c>
      <c r="M3" s="178" t="s">
        <v>21</v>
      </c>
      <c r="N3" s="178" t="s">
        <v>22</v>
      </c>
      <c r="O3" s="7"/>
      <c r="P3" s="7"/>
      <c r="Q3" s="7"/>
      <c r="R3" s="7"/>
      <c r="S3" s="7"/>
      <c r="T3" s="7"/>
      <c r="U3" s="7"/>
    </row>
    <row r="4" hidden="1">
      <c r="A4" s="179" t="str">
        <f>HYPERLINK("https://docs.google.com/spreadsheets/d/1rz6ALoU3mT5OJ_iH2N4xiG0LgAiJBxDKcGWX_MT9VBw/edit?usp=sharing","Sekou Bunch")</f>
        <v>Sekou Bunch</v>
      </c>
      <c r="B4" s="180">
        <v>13.0</v>
      </c>
      <c r="C4" s="180">
        <v>3.0</v>
      </c>
      <c r="D4" s="180">
        <v>1.0</v>
      </c>
      <c r="E4" s="181">
        <v>3.0</v>
      </c>
      <c r="F4" s="182"/>
      <c r="G4" s="180">
        <v>3.0</v>
      </c>
      <c r="H4" s="180"/>
      <c r="I4" s="180" t="s">
        <v>42</v>
      </c>
      <c r="J4" s="180" t="s">
        <v>60</v>
      </c>
      <c r="K4" s="180" t="s">
        <v>110</v>
      </c>
      <c r="L4" s="180" t="s">
        <v>23</v>
      </c>
      <c r="M4" s="180" t="s">
        <v>23</v>
      </c>
      <c r="N4" s="180" t="s">
        <v>23</v>
      </c>
      <c r="O4" s="180">
        <v>1.0</v>
      </c>
      <c r="P4" s="180" t="s">
        <v>23</v>
      </c>
      <c r="Q4" s="180" t="s">
        <v>23</v>
      </c>
      <c r="R4" s="180"/>
      <c r="S4" s="180" t="s">
        <v>23</v>
      </c>
      <c r="T4" s="180" t="s">
        <v>23</v>
      </c>
      <c r="U4" s="180" t="s">
        <v>23</v>
      </c>
    </row>
    <row r="5" hidden="1">
      <c r="A5" s="179" t="str">
        <f>HYPERLINK("https://docs.google.com/spreadsheets/d/1rz6ALoU3mT5OJ_iH2N4xiG0LgAiJBxDKcGWX_MT9VBw/edit?usp=sharing","Billy Garcia")</f>
        <v>Billy Garcia</v>
      </c>
      <c r="B5" s="180">
        <v>13.0</v>
      </c>
      <c r="C5" s="180">
        <v>6.0</v>
      </c>
      <c r="D5" s="180">
        <v>2.0</v>
      </c>
      <c r="E5" s="181">
        <v>3.0</v>
      </c>
      <c r="F5" s="182"/>
      <c r="G5" s="180">
        <v>6.0</v>
      </c>
      <c r="H5" s="180"/>
      <c r="I5" s="180" t="s">
        <v>42</v>
      </c>
      <c r="J5" s="180" t="s">
        <v>60</v>
      </c>
      <c r="K5" s="180" t="s">
        <v>131</v>
      </c>
      <c r="L5" s="180">
        <v>1.0</v>
      </c>
      <c r="M5" s="180">
        <v>1.0</v>
      </c>
      <c r="N5" s="180" t="s">
        <v>23</v>
      </c>
      <c r="O5" s="180">
        <v>1.0</v>
      </c>
      <c r="P5" s="180" t="s">
        <v>23</v>
      </c>
      <c r="Q5" s="180" t="s">
        <v>23</v>
      </c>
      <c r="R5" s="180"/>
      <c r="S5" s="180" t="s">
        <v>23</v>
      </c>
      <c r="T5" s="180" t="s">
        <v>23</v>
      </c>
      <c r="U5" s="180" t="s">
        <v>23</v>
      </c>
    </row>
    <row r="6" hidden="1">
      <c r="A6" s="183" t="str">
        <f>HYPERLINK("https://docs.google.com/spreadsheets/d/1rz6ALoU3mT5OJ_iH2N4xiG0LgAiJBxDKcGWX_MT9VBw/edit?usp=sharing","Cecilia Mansilla")</f>
        <v>Cecilia Mansilla</v>
      </c>
      <c r="B6" s="118">
        <v>13.0</v>
      </c>
      <c r="C6" s="28"/>
      <c r="D6" s="118">
        <v>3.0</v>
      </c>
      <c r="E6" s="29"/>
      <c r="F6" s="29"/>
      <c r="G6" s="118">
        <v>8.0</v>
      </c>
      <c r="H6" s="118"/>
      <c r="I6" s="118" t="s">
        <v>42</v>
      </c>
      <c r="J6" s="118" t="s">
        <v>60</v>
      </c>
      <c r="K6" s="118" t="s">
        <v>124</v>
      </c>
      <c r="L6" s="118">
        <v>1.0</v>
      </c>
      <c r="M6" s="118">
        <v>1.0</v>
      </c>
      <c r="N6" s="28"/>
      <c r="O6" s="118">
        <v>1.0</v>
      </c>
      <c r="P6" s="28"/>
      <c r="Q6" s="118" t="s">
        <v>23</v>
      </c>
      <c r="R6" s="118"/>
      <c r="S6" s="118" t="s">
        <v>23</v>
      </c>
      <c r="T6" s="118"/>
      <c r="U6" s="118" t="s">
        <v>23</v>
      </c>
    </row>
    <row r="7" hidden="1">
      <c r="A7" s="183" t="str">
        <f>HYPERLINK("https://docs.google.com/spreadsheets/d/1rz6ALoU3mT5OJ_iH2N4xiG0LgAiJBxDKcGWX_MT9VBw/edit?usp=sharing","J.P. Calderon")</f>
        <v>J.P. Calderon</v>
      </c>
      <c r="B7" s="118">
        <v>13.0</v>
      </c>
      <c r="C7" s="28"/>
      <c r="D7" s="118">
        <v>4.0</v>
      </c>
      <c r="E7" s="29"/>
      <c r="F7" s="29"/>
      <c r="G7" s="118">
        <v>11.0</v>
      </c>
      <c r="H7" s="118"/>
      <c r="I7" s="118" t="s">
        <v>42</v>
      </c>
      <c r="J7" s="118" t="s">
        <v>60</v>
      </c>
      <c r="K7" s="118" t="s">
        <v>96</v>
      </c>
      <c r="L7" s="118">
        <v>1.0</v>
      </c>
      <c r="M7" s="118">
        <v>1.0</v>
      </c>
      <c r="N7" s="28"/>
      <c r="O7" s="118">
        <v>1.0</v>
      </c>
      <c r="P7" s="28"/>
      <c r="Q7" s="118" t="s">
        <v>23</v>
      </c>
      <c r="R7" s="118"/>
      <c r="S7" s="118" t="s">
        <v>23</v>
      </c>
      <c r="T7" s="118"/>
      <c r="U7" s="118" t="s">
        <v>23</v>
      </c>
    </row>
    <row r="8" hidden="1">
      <c r="A8" s="183" t="str">
        <f>HYPERLINK("https://docs.google.com/spreadsheets/d/1rz6ALoU3mT5OJ_iH2N4xiG0LgAiJBxDKcGWX_MT9VBw/edit?usp=sharing","Stephannie Favor")</f>
        <v>Stephannie Favor</v>
      </c>
      <c r="B8" s="118">
        <v>13.0</v>
      </c>
      <c r="C8" s="28"/>
      <c r="D8" s="118">
        <v>5.0</v>
      </c>
      <c r="E8" s="29"/>
      <c r="F8" s="29"/>
      <c r="G8" s="118">
        <v>14.0</v>
      </c>
      <c r="H8" s="118"/>
      <c r="I8" s="118" t="s">
        <v>42</v>
      </c>
      <c r="J8" s="118" t="s">
        <v>60</v>
      </c>
      <c r="K8" s="118" t="s">
        <v>103</v>
      </c>
      <c r="L8" s="118"/>
      <c r="M8" s="118">
        <v>1.0</v>
      </c>
      <c r="N8" s="28"/>
      <c r="O8" s="118">
        <v>1.0</v>
      </c>
      <c r="P8" s="28"/>
      <c r="Q8" s="118" t="s">
        <v>23</v>
      </c>
      <c r="R8" s="118"/>
      <c r="S8" s="118" t="s">
        <v>23</v>
      </c>
      <c r="T8" s="118"/>
      <c r="U8" s="118" t="s">
        <v>23</v>
      </c>
    </row>
    <row r="9" hidden="1">
      <c r="A9" s="183" t="str">
        <f>HYPERLINK("https://docs.google.com/spreadsheets/d/1rz6ALoU3mT5OJ_iH2N4xiG0LgAiJBxDKcGWX_MT9VBw/edit?usp=sharing","Cao Boi Bui")</f>
        <v>Cao Boi Bui</v>
      </c>
      <c r="B9" s="118">
        <v>13.0</v>
      </c>
      <c r="C9" s="28"/>
      <c r="D9" s="118">
        <v>6.0</v>
      </c>
      <c r="E9" s="29"/>
      <c r="F9" s="29"/>
      <c r="G9" s="118">
        <v>15.0</v>
      </c>
      <c r="H9" s="118"/>
      <c r="I9" s="118" t="s">
        <v>42</v>
      </c>
      <c r="J9" s="118" t="s">
        <v>60</v>
      </c>
      <c r="K9" s="118" t="s">
        <v>112</v>
      </c>
      <c r="L9" s="118">
        <v>2.0</v>
      </c>
      <c r="M9" s="118">
        <v>2.0</v>
      </c>
      <c r="N9" s="28"/>
      <c r="O9" s="28"/>
      <c r="P9" s="28"/>
      <c r="Q9" s="118" t="s">
        <v>23</v>
      </c>
      <c r="R9" s="118"/>
      <c r="S9" s="118" t="s">
        <v>23</v>
      </c>
      <c r="T9" s="118"/>
      <c r="U9" s="118" t="s">
        <v>23</v>
      </c>
    </row>
    <row r="10" hidden="1">
      <c r="A10" s="183" t="str">
        <f>HYPERLINK("https://docs.google.com/spreadsheets/d/1rz6ALoU3mT5OJ_iH2N4xiG0LgAiJBxDKcGWX_MT9VBw/edit?usp=sharing","Cristina Coria")</f>
        <v>Cristina Coria</v>
      </c>
      <c r="B10" s="118">
        <v>13.0</v>
      </c>
      <c r="C10" s="28"/>
      <c r="D10" s="118">
        <v>6.0</v>
      </c>
      <c r="E10" s="29"/>
      <c r="F10" s="29"/>
      <c r="G10" s="118">
        <v>15.0</v>
      </c>
      <c r="H10" s="118"/>
      <c r="I10" s="118" t="s">
        <v>42</v>
      </c>
      <c r="J10" s="118" t="s">
        <v>60</v>
      </c>
      <c r="K10" s="118" t="s">
        <v>111</v>
      </c>
      <c r="L10" s="118">
        <v>1.0</v>
      </c>
      <c r="M10" s="118">
        <v>1.0</v>
      </c>
      <c r="N10" s="28"/>
      <c r="O10" s="118">
        <v>1.0</v>
      </c>
      <c r="P10" s="28"/>
      <c r="Q10" s="118" t="s">
        <v>23</v>
      </c>
      <c r="R10" s="118"/>
      <c r="S10" s="118" t="s">
        <v>23</v>
      </c>
      <c r="T10" s="118"/>
      <c r="U10" s="118" t="s">
        <v>23</v>
      </c>
    </row>
    <row r="11" hidden="1">
      <c r="A11" s="183" t="str">
        <f>HYPERLINK("https://docs.google.com/spreadsheets/d/1rz6ALoU3mT5OJ_iH2N4xiG0LgAiJBxDKcGWX_MT9VBw/edit?usp=sharing","Jessica ""Flicka"" Smith")</f>
        <v>Jessica "Flicka" Smith</v>
      </c>
      <c r="B11" s="118">
        <v>13.0</v>
      </c>
      <c r="C11" s="28"/>
      <c r="D11" s="118">
        <v>7.0</v>
      </c>
      <c r="E11" s="29"/>
      <c r="F11" s="29"/>
      <c r="G11" s="118">
        <v>18.0</v>
      </c>
      <c r="H11" s="118"/>
      <c r="I11" s="118" t="s">
        <v>42</v>
      </c>
      <c r="J11" s="118" t="s">
        <v>60</v>
      </c>
      <c r="K11" s="118" t="s">
        <v>100</v>
      </c>
      <c r="L11" s="118">
        <v>2.0</v>
      </c>
      <c r="M11" s="118">
        <v>2.0</v>
      </c>
      <c r="N11" s="28"/>
      <c r="O11" s="28"/>
      <c r="P11" s="28"/>
      <c r="Q11" s="118" t="s">
        <v>23</v>
      </c>
      <c r="R11" s="118"/>
      <c r="S11" s="118" t="s">
        <v>23</v>
      </c>
      <c r="T11" s="118"/>
      <c r="U11" s="118" t="s">
        <v>23</v>
      </c>
    </row>
    <row r="12" hidden="1">
      <c r="A12" s="183" t="str">
        <f>HYPERLINK("https://docs.google.com/spreadsheets/d/1rz6ALoU3mT5OJ_iH2N4xiG0LgAiJBxDKcGWX_MT9VBw/edit?usp=sharing","Brad Virata")</f>
        <v>Brad Virata</v>
      </c>
      <c r="B12" s="118">
        <v>13.0</v>
      </c>
      <c r="C12" s="28"/>
      <c r="D12" s="118">
        <v>8.0</v>
      </c>
      <c r="E12" s="29"/>
      <c r="F12" s="29"/>
      <c r="G12" s="118">
        <v>21.0</v>
      </c>
      <c r="H12" s="118"/>
      <c r="I12" s="118" t="s">
        <v>42</v>
      </c>
      <c r="J12" s="118" t="s">
        <v>84</v>
      </c>
      <c r="K12" s="118" t="s">
        <v>82</v>
      </c>
      <c r="L12" s="118">
        <v>2.0</v>
      </c>
      <c r="M12" s="118">
        <v>2.0</v>
      </c>
      <c r="N12" s="28"/>
      <c r="O12" s="28"/>
      <c r="P12" s="28"/>
      <c r="Q12" s="118" t="s">
        <v>23</v>
      </c>
      <c r="R12" s="118"/>
      <c r="S12" s="118" t="s">
        <v>23</v>
      </c>
      <c r="T12" s="118"/>
      <c r="U12" s="118" t="s">
        <v>23</v>
      </c>
    </row>
    <row r="13" hidden="1">
      <c r="A13" s="183" t="str">
        <f>HYPERLINK("https://docs.google.com/spreadsheets/d/1rz6ALoU3mT5OJ_iH2N4xiG0LgAiJBxDKcGWX_MT9VBw/edit?usp=sharing","Rebecca Borman")</f>
        <v>Rebecca Borman</v>
      </c>
      <c r="B13" s="118">
        <v>13.0</v>
      </c>
      <c r="C13" s="28"/>
      <c r="D13" s="118">
        <v>9.0</v>
      </c>
      <c r="E13" s="29"/>
      <c r="F13" s="29"/>
      <c r="G13" s="118">
        <v>24.0</v>
      </c>
      <c r="H13" s="118"/>
      <c r="I13" s="118" t="s">
        <v>42</v>
      </c>
      <c r="J13" s="118" t="s">
        <v>48</v>
      </c>
      <c r="K13" s="118" t="s">
        <v>69</v>
      </c>
      <c r="L13" s="28"/>
      <c r="M13" s="118">
        <v>1.0</v>
      </c>
      <c r="N13" s="28"/>
      <c r="O13" s="118">
        <v>1.0</v>
      </c>
      <c r="P13" s="28"/>
      <c r="Q13" s="118" t="s">
        <v>23</v>
      </c>
      <c r="R13" s="118"/>
      <c r="S13" s="118" t="s">
        <v>23</v>
      </c>
      <c r="T13" s="118"/>
      <c r="U13" s="118" t="s">
        <v>23</v>
      </c>
    </row>
    <row r="14" hidden="1">
      <c r="A14" s="183" t="str">
        <f>HYPERLINK("https://docs.google.com/spreadsheets/d/1rz6ALoU3mT5OJ_iH2N4xiG0LgAiJBxDKcGWX_MT9VBw/edit?usp=sharing","Jenny Guzon-Bae")</f>
        <v>Jenny Guzon-Bae</v>
      </c>
      <c r="B14" s="118">
        <v>13.0</v>
      </c>
      <c r="C14" s="28"/>
      <c r="D14" s="118">
        <v>9.0</v>
      </c>
      <c r="E14" s="29"/>
      <c r="F14" s="29"/>
      <c r="G14" s="118">
        <v>24.0</v>
      </c>
      <c r="H14" s="118"/>
      <c r="I14" s="118" t="s">
        <v>42</v>
      </c>
      <c r="J14" s="118" t="s">
        <v>43</v>
      </c>
      <c r="K14" s="118" t="s">
        <v>86</v>
      </c>
      <c r="L14" s="118">
        <v>2.0</v>
      </c>
      <c r="M14" s="118">
        <v>2.0</v>
      </c>
      <c r="N14" s="28"/>
      <c r="O14" s="28"/>
      <c r="P14" s="28"/>
      <c r="Q14" s="118" t="s">
        <v>23</v>
      </c>
      <c r="R14" s="118"/>
      <c r="S14" s="118" t="s">
        <v>23</v>
      </c>
      <c r="T14" s="118"/>
      <c r="U14" s="118" t="s">
        <v>23</v>
      </c>
    </row>
    <row r="15" hidden="1">
      <c r="A15" s="183" t="str">
        <f>HYPERLINK("https://docs.google.com/spreadsheets/d/1rz6ALoU3mT5OJ_iH2N4xiG0LgAiJBxDKcGWX_MT9VBw/edit?usp=sharing","Nate Gonzalez")</f>
        <v>Nate Gonzalez</v>
      </c>
      <c r="B15" s="118">
        <v>13.0</v>
      </c>
      <c r="C15" s="28"/>
      <c r="D15" s="118">
        <v>10.0</v>
      </c>
      <c r="E15" s="29"/>
      <c r="F15" s="29"/>
      <c r="G15" s="118">
        <v>27.0</v>
      </c>
      <c r="H15" s="118"/>
      <c r="I15" s="118" t="s">
        <v>9</v>
      </c>
      <c r="J15" s="118" t="s">
        <v>58</v>
      </c>
      <c r="K15" s="118" t="s">
        <v>63</v>
      </c>
      <c r="L15" s="28"/>
      <c r="M15" s="118">
        <v>1.0</v>
      </c>
      <c r="N15" s="28"/>
      <c r="O15" s="118">
        <v>1.0</v>
      </c>
      <c r="P15" s="28"/>
      <c r="Q15" s="118" t="s">
        <v>23</v>
      </c>
      <c r="R15" s="118"/>
      <c r="S15" s="118" t="s">
        <v>23</v>
      </c>
      <c r="T15" s="118"/>
      <c r="U15" s="118" t="s">
        <v>23</v>
      </c>
    </row>
    <row r="16" hidden="1">
      <c r="A16" s="183" t="str">
        <f>HYPERLINK("https://docs.google.com/spreadsheets/d/1rz6ALoU3mT5OJ_iH2N4xiG0LgAiJBxDKcGWX_MT9VBw/edit?usp=sharing","Candice Woodcock")</f>
        <v>Candice Woodcock</v>
      </c>
      <c r="B16" s="118">
        <v>13.0</v>
      </c>
      <c r="C16" s="28"/>
      <c r="D16" s="118">
        <v>11.0</v>
      </c>
      <c r="E16" s="29"/>
      <c r="F16" s="29"/>
      <c r="G16" s="118">
        <v>30.0</v>
      </c>
      <c r="H16" s="118"/>
      <c r="I16" s="118" t="s">
        <v>9</v>
      </c>
      <c r="J16" s="118" t="s">
        <v>46</v>
      </c>
      <c r="K16" s="118" t="s">
        <v>71</v>
      </c>
      <c r="L16" s="118">
        <v>2.0</v>
      </c>
      <c r="M16" s="118">
        <v>2.0</v>
      </c>
      <c r="N16" s="28"/>
      <c r="O16" s="28"/>
      <c r="P16" s="28"/>
      <c r="Q16" s="118" t="s">
        <v>23</v>
      </c>
      <c r="R16" s="118"/>
      <c r="S16" s="118" t="s">
        <v>23</v>
      </c>
      <c r="T16" s="118"/>
      <c r="U16" s="118" t="s">
        <v>23</v>
      </c>
    </row>
    <row r="17" hidden="1">
      <c r="A17" s="183" t="str">
        <f>HYPERLINK("https://docs.google.com/spreadsheets/d/1rz6ALoU3mT5OJ_iH2N4xiG0LgAiJBxDKcGWX_MT9VBw/edit?usp=sharing","Jonathan Penner")</f>
        <v>Jonathan Penner</v>
      </c>
      <c r="B17" s="118">
        <v>13.0</v>
      </c>
      <c r="C17" s="28"/>
      <c r="D17" s="118">
        <v>12.0</v>
      </c>
      <c r="E17" s="29"/>
      <c r="F17" s="29"/>
      <c r="G17" s="118">
        <v>33.0</v>
      </c>
      <c r="H17" s="118"/>
      <c r="I17" s="118" t="s">
        <v>9</v>
      </c>
      <c r="J17" s="118" t="s">
        <v>37</v>
      </c>
      <c r="K17" s="118" t="s">
        <v>44</v>
      </c>
      <c r="L17" s="118">
        <v>2.0</v>
      </c>
      <c r="M17" s="118">
        <v>2.0</v>
      </c>
      <c r="N17" s="28"/>
      <c r="O17" s="28"/>
      <c r="P17" s="118">
        <v>1.0</v>
      </c>
      <c r="Q17" s="118" t="s">
        <v>23</v>
      </c>
      <c r="R17" s="118"/>
      <c r="S17" s="118" t="s">
        <v>23</v>
      </c>
      <c r="T17" s="118"/>
      <c r="U17" s="118" t="s">
        <v>23</v>
      </c>
    </row>
    <row r="18" hidden="1">
      <c r="A18" s="183" t="str">
        <f>HYPERLINK("https://docs.google.com/spreadsheets/d/1rz6ALoU3mT5OJ_iH2N4xiG0LgAiJBxDKcGWX_MT9VBw/edit?usp=sharing","Parvati Shallow")</f>
        <v>Parvati Shallow</v>
      </c>
      <c r="B18" s="118">
        <v>13.0</v>
      </c>
      <c r="C18" s="28"/>
      <c r="D18" s="118">
        <v>13.0</v>
      </c>
      <c r="E18" s="29"/>
      <c r="F18" s="29"/>
      <c r="G18" s="118">
        <v>36.0</v>
      </c>
      <c r="H18" s="118"/>
      <c r="I18" s="118" t="s">
        <v>9</v>
      </c>
      <c r="J18" s="118" t="s">
        <v>24</v>
      </c>
      <c r="K18" s="118" t="s">
        <v>65</v>
      </c>
      <c r="L18" s="118">
        <v>2.0</v>
      </c>
      <c r="M18" s="118">
        <v>2.0</v>
      </c>
      <c r="N18" s="28"/>
      <c r="O18" s="28"/>
      <c r="P18" s="28"/>
      <c r="Q18" s="118" t="s">
        <v>23</v>
      </c>
      <c r="R18" s="118"/>
      <c r="S18" s="118" t="s">
        <v>23</v>
      </c>
      <c r="T18" s="118"/>
      <c r="U18" s="118" t="s">
        <v>23</v>
      </c>
    </row>
    <row r="19" hidden="1">
      <c r="A19" s="183" t="str">
        <f>HYPERLINK("https://docs.google.com/spreadsheets/d/1rz6ALoU3mT5OJ_iH2N4xiG0LgAiJBxDKcGWX_MT9VBw/edit?usp=sharing","Adam Gentry")</f>
        <v>Adam Gentry</v>
      </c>
      <c r="B19" s="118">
        <v>13.0</v>
      </c>
      <c r="C19" s="28"/>
      <c r="D19" s="118">
        <v>14.0</v>
      </c>
      <c r="E19" s="29"/>
      <c r="F19" s="29"/>
      <c r="G19" s="118">
        <v>37.0</v>
      </c>
      <c r="H19" s="118"/>
      <c r="I19" s="118" t="s">
        <v>9</v>
      </c>
      <c r="J19" s="118" t="s">
        <v>40</v>
      </c>
      <c r="K19" s="118" t="s">
        <v>67</v>
      </c>
      <c r="L19" s="118">
        <v>2.0</v>
      </c>
      <c r="M19" s="118">
        <v>2.0</v>
      </c>
      <c r="N19" s="28"/>
      <c r="O19" s="28"/>
      <c r="P19" s="28"/>
      <c r="Q19" s="118" t="s">
        <v>23</v>
      </c>
      <c r="R19" s="118"/>
      <c r="S19" s="118" t="s">
        <v>23</v>
      </c>
      <c r="T19" s="118"/>
      <c r="U19" s="118" t="s">
        <v>23</v>
      </c>
    </row>
    <row r="20" hidden="1">
      <c r="A20" s="183" t="str">
        <f>HYPERLINK("https://docs.google.com/spreadsheets/d/1rz6ALoU3mT5OJ_iH2N4xiG0LgAiJBxDKcGWX_MT9VBw/edit?usp=sharing","Sundra Oakley")</f>
        <v>Sundra Oakley</v>
      </c>
      <c r="B20" s="118">
        <v>13.0</v>
      </c>
      <c r="C20" s="28"/>
      <c r="D20" s="118">
        <v>14.0</v>
      </c>
      <c r="E20" s="29"/>
      <c r="F20" s="29"/>
      <c r="G20" s="118">
        <v>38.0</v>
      </c>
      <c r="H20" s="118"/>
      <c r="I20" s="118" t="s">
        <v>9</v>
      </c>
      <c r="J20" s="118" t="s">
        <v>45</v>
      </c>
      <c r="K20" s="118" t="s">
        <v>55</v>
      </c>
      <c r="L20" s="28"/>
      <c r="M20" s="118">
        <v>1.0</v>
      </c>
      <c r="N20" s="28"/>
      <c r="O20" s="118">
        <v>1.0</v>
      </c>
      <c r="P20" s="28"/>
      <c r="Q20" s="118" t="s">
        <v>23</v>
      </c>
      <c r="R20" s="118"/>
      <c r="S20" s="118" t="s">
        <v>23</v>
      </c>
      <c r="T20" s="118"/>
      <c r="U20" s="118" t="s">
        <v>23</v>
      </c>
    </row>
    <row r="21" hidden="1">
      <c r="A21" s="183" t="str">
        <f>HYPERLINK("https://docs.google.com/spreadsheets/d/1rz6ALoU3mT5OJ_iH2N4xiG0LgAiJBxDKcGWX_MT9VBw/edit?usp=sharing","Becky Lee")</f>
        <v>Becky Lee</v>
      </c>
      <c r="B21" s="118">
        <v>13.0</v>
      </c>
      <c r="C21" s="28"/>
      <c r="D21" s="118">
        <v>14.0</v>
      </c>
      <c r="E21" s="29"/>
      <c r="F21" s="29"/>
      <c r="G21" s="118">
        <v>39.0</v>
      </c>
      <c r="H21" s="118"/>
      <c r="I21" s="118" t="s">
        <v>9</v>
      </c>
      <c r="J21" s="118" t="s">
        <v>1222</v>
      </c>
      <c r="K21" s="118" t="s">
        <v>62</v>
      </c>
      <c r="L21" s="118">
        <v>2.0</v>
      </c>
      <c r="M21" s="118">
        <v>2.0</v>
      </c>
      <c r="N21" s="28"/>
      <c r="O21" s="28"/>
      <c r="P21" s="28"/>
      <c r="Q21" s="118" t="s">
        <v>23</v>
      </c>
      <c r="R21" s="118"/>
      <c r="S21" s="118" t="s">
        <v>23</v>
      </c>
      <c r="T21" s="118"/>
      <c r="U21" s="118" t="s">
        <v>23</v>
      </c>
    </row>
    <row r="22" hidden="1">
      <c r="A22" s="183" t="str">
        <f>HYPERLINK("https://docs.google.com/spreadsheets/d/1rz6ALoU3mT5OJ_iH2N4xiG0LgAiJBxDKcGWX_MT9VBw/edit?usp=sharing","Ozzy Lusth")</f>
        <v>Ozzy Lusth</v>
      </c>
      <c r="B22" s="118">
        <v>13.0</v>
      </c>
      <c r="C22" s="28"/>
      <c r="D22" s="118">
        <v>14.0</v>
      </c>
      <c r="E22" s="29"/>
      <c r="F22" s="29"/>
      <c r="G22" s="118">
        <v>39.0</v>
      </c>
      <c r="H22" s="118"/>
      <c r="I22" s="118" t="s">
        <v>9</v>
      </c>
      <c r="J22" s="118" t="s">
        <v>1223</v>
      </c>
      <c r="K22" s="118" t="s">
        <v>39</v>
      </c>
      <c r="L22" s="118">
        <v>1.0</v>
      </c>
      <c r="M22" s="118">
        <v>1.0</v>
      </c>
      <c r="N22" s="28"/>
      <c r="O22" s="118">
        <v>1.0</v>
      </c>
      <c r="P22" s="28"/>
      <c r="Q22" s="118" t="s">
        <v>23</v>
      </c>
      <c r="R22" s="118"/>
      <c r="S22" s="118" t="s">
        <v>23</v>
      </c>
      <c r="T22" s="118"/>
      <c r="U22" s="118" t="s">
        <v>23</v>
      </c>
    </row>
    <row r="23" hidden="1">
      <c r="A23" s="183" t="str">
        <f>HYPERLINK("https://docs.google.com/spreadsheets/d/1rz6ALoU3mT5OJ_iH2N4xiG0LgAiJBxDKcGWX_MT9VBw/edit?usp=sharing","Yul Kwon")</f>
        <v>Yul Kwon</v>
      </c>
      <c r="B23" s="118">
        <v>13.0</v>
      </c>
      <c r="C23" s="28"/>
      <c r="D23" s="118">
        <v>14.0</v>
      </c>
      <c r="E23" s="29"/>
      <c r="F23" s="29"/>
      <c r="G23" s="118">
        <v>39.0</v>
      </c>
      <c r="H23" s="118"/>
      <c r="I23" s="118" t="s">
        <v>9</v>
      </c>
      <c r="J23" s="118" t="s">
        <v>28</v>
      </c>
      <c r="K23" s="118" t="s">
        <v>36</v>
      </c>
      <c r="L23" s="118">
        <v>2.0</v>
      </c>
      <c r="M23" s="118">
        <v>2.0</v>
      </c>
      <c r="N23" s="28"/>
      <c r="O23" s="28"/>
      <c r="P23" s="118">
        <v>1.0</v>
      </c>
      <c r="Q23" s="118" t="s">
        <v>23</v>
      </c>
      <c r="R23" s="118"/>
      <c r="S23" s="118">
        <v>1.0</v>
      </c>
      <c r="T23" s="118"/>
      <c r="U23" s="118" t="s">
        <v>23</v>
      </c>
    </row>
    <row r="24" hidden="1">
      <c r="A24" s="183" t="str">
        <f>HYPERLINK("https://docs.google.com/spreadsheets/d/11kgSN1g0GK37sClxLbfy_k06SXw_K3r3T_SwH58G6SM/edit?usp=sharing","Jessica deBen")</f>
        <v>Jessica deBen</v>
      </c>
      <c r="B24" s="118">
        <v>14.0</v>
      </c>
      <c r="C24" s="28"/>
      <c r="D24" s="118">
        <v>1.0</v>
      </c>
      <c r="E24" s="29"/>
      <c r="F24" s="29"/>
      <c r="G24" s="118">
        <v>3.0</v>
      </c>
      <c r="H24" s="118"/>
      <c r="I24" s="118" t="s">
        <v>42</v>
      </c>
      <c r="J24" s="118" t="s">
        <v>60</v>
      </c>
      <c r="K24" s="118" t="s">
        <v>1224</v>
      </c>
      <c r="L24" s="118" t="s">
        <v>23</v>
      </c>
      <c r="M24" s="118" t="s">
        <v>23</v>
      </c>
      <c r="N24" s="118" t="s">
        <v>23</v>
      </c>
      <c r="O24" s="118">
        <v>1.0</v>
      </c>
      <c r="P24" s="118" t="s">
        <v>23</v>
      </c>
      <c r="Q24" s="118" t="s">
        <v>23</v>
      </c>
      <c r="R24" s="118"/>
      <c r="S24" s="118" t="s">
        <v>23</v>
      </c>
      <c r="T24" s="118" t="s">
        <v>23</v>
      </c>
      <c r="U24" s="118" t="s">
        <v>23</v>
      </c>
    </row>
    <row r="25" hidden="1">
      <c r="A25" s="183" t="str">
        <f>HYPERLINK("https://docs.google.com/spreadsheets/d/11kgSN1g0GK37sClxLbfy_k06SXw_K3r3T_SwH58G6SM/edit?usp=sharing","Erica Durousseau")</f>
        <v>Erica Durousseau</v>
      </c>
      <c r="B25" s="118">
        <v>14.0</v>
      </c>
      <c r="C25" s="28"/>
      <c r="D25" s="118">
        <v>2.0</v>
      </c>
      <c r="E25" s="29"/>
      <c r="F25" s="29"/>
      <c r="G25" s="118">
        <v>6.0</v>
      </c>
      <c r="H25" s="118"/>
      <c r="I25" s="118" t="s">
        <v>42</v>
      </c>
      <c r="J25" s="118" t="s">
        <v>60</v>
      </c>
      <c r="K25" s="118" t="s">
        <v>1225</v>
      </c>
      <c r="L25" s="28"/>
      <c r="M25" s="28"/>
      <c r="N25" s="28"/>
      <c r="O25" s="118">
        <v>1.0</v>
      </c>
      <c r="P25" s="28"/>
      <c r="Q25" s="118" t="s">
        <v>23</v>
      </c>
      <c r="R25" s="118"/>
      <c r="S25" s="118" t="s">
        <v>23</v>
      </c>
      <c r="T25" s="118"/>
      <c r="U25" s="118" t="s">
        <v>23</v>
      </c>
    </row>
    <row r="26" hidden="1">
      <c r="A26" s="183" t="str">
        <f>HYPERLINK("https://docs.google.com/spreadsheets/d/11kgSN1g0GK37sClxLbfy_k06SXw_K3r3T_SwH58G6SM/edit?usp=sharing","Sylvia Kwan")</f>
        <v>Sylvia Kwan</v>
      </c>
      <c r="B26" s="118">
        <v>14.0</v>
      </c>
      <c r="C26" s="28"/>
      <c r="D26" s="118">
        <v>3.0</v>
      </c>
      <c r="E26" s="29"/>
      <c r="F26" s="29"/>
      <c r="G26" s="118">
        <v>8.0</v>
      </c>
      <c r="H26" s="118"/>
      <c r="I26" s="118" t="s">
        <v>42</v>
      </c>
      <c r="J26" s="118" t="s">
        <v>60</v>
      </c>
      <c r="K26" s="118" t="s">
        <v>1226</v>
      </c>
      <c r="L26" s="118">
        <v>1.0</v>
      </c>
      <c r="M26" s="118">
        <v>1.0</v>
      </c>
      <c r="N26" s="28"/>
      <c r="O26" s="28"/>
      <c r="P26" s="118">
        <v>1.0</v>
      </c>
      <c r="Q26" s="118" t="s">
        <v>23</v>
      </c>
      <c r="R26" s="118"/>
      <c r="S26" s="118" t="s">
        <v>23</v>
      </c>
      <c r="T26" s="118"/>
      <c r="U26" s="118" t="s">
        <v>23</v>
      </c>
    </row>
    <row r="27" hidden="1">
      <c r="A27" s="183" t="str">
        <f>HYPERLINK("https://docs.google.com/spreadsheets/d/11kgSN1g0GK37sClxLbfy_k06SXw_K3r3T_SwH58G6SM/edit?usp=sharing","Gary Stritesky")</f>
        <v>Gary Stritesky</v>
      </c>
      <c r="B27" s="118">
        <v>14.0</v>
      </c>
      <c r="C27" s="28"/>
      <c r="D27" s="118">
        <v>4.0</v>
      </c>
      <c r="E27" s="29"/>
      <c r="F27" s="29"/>
      <c r="G27" s="118">
        <v>10.0</v>
      </c>
      <c r="H27" s="118"/>
      <c r="I27" s="118" t="s">
        <v>42</v>
      </c>
      <c r="J27" s="118" t="s">
        <v>60</v>
      </c>
      <c r="K27" s="118" t="s">
        <v>422</v>
      </c>
      <c r="L27" s="118">
        <v>1.0</v>
      </c>
      <c r="M27" s="118">
        <v>1.0</v>
      </c>
      <c r="N27" s="28"/>
      <c r="O27" s="28"/>
      <c r="P27" s="28"/>
      <c r="Q27" s="118" t="s">
        <v>23</v>
      </c>
      <c r="R27" s="118"/>
      <c r="S27" s="118" t="s">
        <v>23</v>
      </c>
      <c r="T27" s="118"/>
      <c r="U27" s="118" t="s">
        <v>64</v>
      </c>
    </row>
    <row r="28" hidden="1">
      <c r="A28" s="183" t="str">
        <f>HYPERLINK("https://docs.google.com/spreadsheets/d/11kgSN1g0GK37sClxLbfy_k06SXw_K3r3T_SwH58G6SM/edit?usp=sharing","Liliana Gomez")</f>
        <v>Liliana Gomez</v>
      </c>
      <c r="B28" s="118">
        <v>14.0</v>
      </c>
      <c r="C28" s="28"/>
      <c r="D28" s="118">
        <v>4.0</v>
      </c>
      <c r="E28" s="29"/>
      <c r="F28" s="29"/>
      <c r="G28" s="118">
        <v>11.0</v>
      </c>
      <c r="H28" s="118"/>
      <c r="I28" s="118" t="s">
        <v>42</v>
      </c>
      <c r="J28" s="118" t="s">
        <v>60</v>
      </c>
      <c r="K28" s="118" t="s">
        <v>424</v>
      </c>
      <c r="L28" s="118">
        <v>1.0</v>
      </c>
      <c r="M28" s="118">
        <v>1.0</v>
      </c>
      <c r="N28" s="28"/>
      <c r="O28" s="28"/>
      <c r="P28" s="28"/>
      <c r="Q28" s="118" t="s">
        <v>23</v>
      </c>
      <c r="R28" s="118"/>
      <c r="S28" s="118" t="s">
        <v>23</v>
      </c>
      <c r="T28" s="118"/>
      <c r="U28" s="118" t="s">
        <v>23</v>
      </c>
    </row>
    <row r="29" hidden="1">
      <c r="A29" s="183" t="str">
        <f>HYPERLINK("https://docs.google.com/spreadsheets/d/11kgSN1g0GK37sClxLbfy_k06SXw_K3r3T_SwH58G6SM/edit?usp=sharing","Rita Verreos")</f>
        <v>Rita Verreos</v>
      </c>
      <c r="B29" s="118">
        <v>14.0</v>
      </c>
      <c r="C29" s="28"/>
      <c r="D29" s="118">
        <v>5.0</v>
      </c>
      <c r="E29" s="29"/>
      <c r="F29" s="29"/>
      <c r="G29" s="118">
        <v>14.0</v>
      </c>
      <c r="H29" s="118"/>
      <c r="I29" s="118" t="s">
        <v>42</v>
      </c>
      <c r="J29" s="118" t="s">
        <v>60</v>
      </c>
      <c r="K29" s="118" t="s">
        <v>426</v>
      </c>
      <c r="L29" s="28"/>
      <c r="M29" s="28"/>
      <c r="N29" s="28"/>
      <c r="O29" s="118">
        <v>1.0</v>
      </c>
      <c r="P29" s="28"/>
      <c r="Q29" s="118" t="s">
        <v>23</v>
      </c>
      <c r="R29" s="118"/>
      <c r="S29" s="118" t="s">
        <v>23</v>
      </c>
      <c r="T29" s="118"/>
      <c r="U29" s="118" t="s">
        <v>23</v>
      </c>
    </row>
    <row r="30" hidden="1">
      <c r="A30" s="183" t="str">
        <f>HYPERLINK("https://docs.google.com/spreadsheets/d/11kgSN1g0GK37sClxLbfy_k06SXw_K3r3T_SwH58G6SM/edit?usp=sharing","Anthony Robinson")</f>
        <v>Anthony Robinson</v>
      </c>
      <c r="B30" s="118">
        <v>14.0</v>
      </c>
      <c r="C30" s="28"/>
      <c r="D30" s="118">
        <v>6.0</v>
      </c>
      <c r="E30" s="29"/>
      <c r="F30" s="29"/>
      <c r="G30" s="118">
        <v>16.0</v>
      </c>
      <c r="H30" s="118"/>
      <c r="I30" s="118" t="s">
        <v>42</v>
      </c>
      <c r="J30" s="118" t="s">
        <v>60</v>
      </c>
      <c r="K30" s="118" t="s">
        <v>1227</v>
      </c>
      <c r="L30" s="28"/>
      <c r="M30" s="28"/>
      <c r="N30" s="28"/>
      <c r="O30" s="118">
        <v>1.0</v>
      </c>
      <c r="P30" s="28"/>
      <c r="Q30" s="118" t="s">
        <v>23</v>
      </c>
      <c r="R30" s="118"/>
      <c r="S30" s="118" t="s">
        <v>23</v>
      </c>
      <c r="T30" s="118"/>
      <c r="U30" s="118" t="s">
        <v>23</v>
      </c>
    </row>
    <row r="31" hidden="1">
      <c r="A31" s="183" t="str">
        <f>HYPERLINK("https://docs.google.com/spreadsheets/d/11kgSN1g0GK37sClxLbfy_k06SXw_K3r3T_SwH58G6SM/edit?usp=sharing","Rocky Reid")</f>
        <v>Rocky Reid</v>
      </c>
      <c r="B31" s="118">
        <v>14.0</v>
      </c>
      <c r="C31" s="28"/>
      <c r="D31" s="118">
        <v>7.0</v>
      </c>
      <c r="E31" s="29"/>
      <c r="F31" s="29"/>
      <c r="G31" s="118">
        <v>19.0</v>
      </c>
      <c r="H31" s="118"/>
      <c r="I31" s="118" t="s">
        <v>42</v>
      </c>
      <c r="J31" s="118" t="s">
        <v>84</v>
      </c>
      <c r="K31" s="118" t="s">
        <v>1228</v>
      </c>
      <c r="L31" s="28"/>
      <c r="M31" s="28"/>
      <c r="N31" s="28"/>
      <c r="O31" s="118">
        <v>1.0</v>
      </c>
      <c r="P31" s="28"/>
      <c r="Q31" s="118" t="s">
        <v>23</v>
      </c>
      <c r="R31" s="118"/>
      <c r="S31" s="118" t="s">
        <v>23</v>
      </c>
      <c r="T31" s="118"/>
      <c r="U31" s="118" t="s">
        <v>23</v>
      </c>
    </row>
    <row r="32" hidden="1">
      <c r="A32" s="183" t="str">
        <f>HYPERLINK("https://docs.google.com/spreadsheets/d/11kgSN1g0GK37sClxLbfy_k06SXw_K3r3T_SwH58G6SM/edit?usp=sharing","Lisi Linares")</f>
        <v>Lisi Linares</v>
      </c>
      <c r="B32" s="118">
        <v>14.0</v>
      </c>
      <c r="C32" s="28"/>
      <c r="D32" s="118">
        <v>8.0</v>
      </c>
      <c r="E32" s="29"/>
      <c r="F32" s="29"/>
      <c r="G32" s="118">
        <v>21.0</v>
      </c>
      <c r="H32" s="118"/>
      <c r="I32" s="118" t="s">
        <v>42</v>
      </c>
      <c r="J32" s="118" t="s">
        <v>48</v>
      </c>
      <c r="K32" s="118" t="s">
        <v>428</v>
      </c>
      <c r="L32" s="118">
        <v>1.0</v>
      </c>
      <c r="M32" s="118">
        <v>1.0</v>
      </c>
      <c r="N32" s="28"/>
      <c r="O32" s="28"/>
      <c r="P32" s="28"/>
      <c r="Q32" s="118" t="s">
        <v>23</v>
      </c>
      <c r="R32" s="118"/>
      <c r="S32" s="118" t="s">
        <v>23</v>
      </c>
      <c r="T32" s="118"/>
      <c r="U32" s="118" t="s">
        <v>23</v>
      </c>
    </row>
    <row r="33" hidden="1">
      <c r="A33" s="183" t="str">
        <f>HYPERLINK("https://docs.google.com/spreadsheets/d/11kgSN1g0GK37sClxLbfy_k06SXw_K3r3T_SwH58G6SM/edit?usp=sharing","Michelle Yi")</f>
        <v>Michelle Yi</v>
      </c>
      <c r="B33" s="118">
        <v>14.0</v>
      </c>
      <c r="C33" s="28"/>
      <c r="D33" s="118">
        <v>9.0</v>
      </c>
      <c r="E33" s="29"/>
      <c r="F33" s="29"/>
      <c r="G33" s="118">
        <v>24.0</v>
      </c>
      <c r="H33" s="118"/>
      <c r="I33" s="118" t="s">
        <v>9</v>
      </c>
      <c r="J33" s="118" t="s">
        <v>43</v>
      </c>
      <c r="K33" s="118" t="s">
        <v>430</v>
      </c>
      <c r="L33" s="28"/>
      <c r="M33" s="28"/>
      <c r="N33" s="28"/>
      <c r="O33" s="118">
        <v>1.0</v>
      </c>
      <c r="P33" s="28"/>
      <c r="Q33" s="118" t="s">
        <v>23</v>
      </c>
      <c r="R33" s="118"/>
      <c r="S33" s="118" t="s">
        <v>23</v>
      </c>
      <c r="T33" s="118"/>
      <c r="U33" s="118" t="s">
        <v>23</v>
      </c>
    </row>
    <row r="34" hidden="1">
      <c r="A34" s="183" t="str">
        <f>HYPERLINK("https://docs.google.com/spreadsheets/d/11kgSN1g0GK37sClxLbfy_k06SXw_K3r3T_SwH58G6SM/edit?usp=sharing","Edgardo Rivera")</f>
        <v>Edgardo Rivera</v>
      </c>
      <c r="B34" s="118">
        <v>14.0</v>
      </c>
      <c r="C34" s="28"/>
      <c r="D34" s="118">
        <v>10.0</v>
      </c>
      <c r="E34" s="29"/>
      <c r="F34" s="29"/>
      <c r="G34" s="118">
        <v>27.0</v>
      </c>
      <c r="H34" s="118"/>
      <c r="I34" s="118" t="s">
        <v>9</v>
      </c>
      <c r="J34" s="118" t="s">
        <v>58</v>
      </c>
      <c r="K34" s="118" t="s">
        <v>432</v>
      </c>
      <c r="L34" s="118">
        <v>1.0</v>
      </c>
      <c r="M34" s="118">
        <v>1.0</v>
      </c>
      <c r="N34" s="28"/>
      <c r="O34" s="28"/>
      <c r="P34" s="28"/>
      <c r="Q34" s="118" t="s">
        <v>23</v>
      </c>
      <c r="R34" s="118"/>
      <c r="S34" s="118" t="s">
        <v>23</v>
      </c>
      <c r="T34" s="118"/>
      <c r="U34" s="118" t="s">
        <v>23</v>
      </c>
    </row>
    <row r="35" hidden="1">
      <c r="A35" s="183" t="str">
        <f>HYPERLINK("https://docs.google.com/spreadsheets/d/11kgSN1g0GK37sClxLbfy_k06SXw_K3r3T_SwH58G6SM/edit?usp=sharing","Mookie Lee")</f>
        <v>Mookie Lee</v>
      </c>
      <c r="B35" s="118">
        <v>14.0</v>
      </c>
      <c r="C35" s="28"/>
      <c r="D35" s="118">
        <v>11.0</v>
      </c>
      <c r="E35" s="29"/>
      <c r="F35" s="29"/>
      <c r="G35" s="118">
        <v>30.0</v>
      </c>
      <c r="H35" s="118"/>
      <c r="I35" s="118" t="s">
        <v>9</v>
      </c>
      <c r="J35" s="118" t="s">
        <v>46</v>
      </c>
      <c r="K35" s="118" t="s">
        <v>434</v>
      </c>
      <c r="L35" s="28"/>
      <c r="M35" s="28"/>
      <c r="N35" s="28"/>
      <c r="O35" s="118">
        <v>1.0</v>
      </c>
      <c r="P35" s="28"/>
      <c r="Q35" s="118" t="s">
        <v>23</v>
      </c>
      <c r="R35" s="118"/>
      <c r="S35" s="118">
        <v>1.0</v>
      </c>
      <c r="T35" s="118"/>
      <c r="U35" s="118" t="s">
        <v>23</v>
      </c>
    </row>
    <row r="36" hidden="1">
      <c r="A36" s="183" t="str">
        <f>HYPERLINK("https://docs.google.com/spreadsheets/d/11kgSN1g0GK37sClxLbfy_k06SXw_K3r3T_SwH58G6SM/edit?usp=sharing","Alex Angarita")</f>
        <v>Alex Angarita</v>
      </c>
      <c r="B36" s="118">
        <v>14.0</v>
      </c>
      <c r="C36" s="28"/>
      <c r="D36" s="118">
        <v>12.0</v>
      </c>
      <c r="E36" s="29"/>
      <c r="F36" s="29"/>
      <c r="G36" s="118">
        <v>33.0</v>
      </c>
      <c r="H36" s="118"/>
      <c r="I36" s="118" t="s">
        <v>9</v>
      </c>
      <c r="J36" s="118" t="s">
        <v>37</v>
      </c>
      <c r="K36" s="118" t="s">
        <v>436</v>
      </c>
      <c r="L36" s="118">
        <v>1.0</v>
      </c>
      <c r="M36" s="118">
        <v>1.0</v>
      </c>
      <c r="N36" s="28"/>
      <c r="O36" s="28"/>
      <c r="P36" s="28"/>
      <c r="Q36" s="118" t="s">
        <v>23</v>
      </c>
      <c r="R36" s="118"/>
      <c r="S36" s="118">
        <v>1.0</v>
      </c>
      <c r="T36" s="118"/>
      <c r="U36" s="118" t="s">
        <v>23</v>
      </c>
    </row>
    <row r="37" hidden="1">
      <c r="A37" s="183" t="str">
        <f>HYPERLINK("https://docs.google.com/spreadsheets/d/11kgSN1g0GK37sClxLbfy_k06SXw_K3r3T_SwH58G6SM/edit?usp=sharing","Stacy Kimball")</f>
        <v>Stacy Kimball</v>
      </c>
      <c r="B37" s="118">
        <v>14.0</v>
      </c>
      <c r="C37" s="28"/>
      <c r="D37" s="118">
        <v>13.0</v>
      </c>
      <c r="E37" s="29"/>
      <c r="F37" s="29"/>
      <c r="G37" s="118">
        <v>36.0</v>
      </c>
      <c r="H37" s="118"/>
      <c r="I37" s="118" t="s">
        <v>9</v>
      </c>
      <c r="J37" s="118" t="s">
        <v>24</v>
      </c>
      <c r="K37" s="118" t="s">
        <v>438</v>
      </c>
      <c r="L37" s="118">
        <v>1.0</v>
      </c>
      <c r="M37" s="118">
        <v>1.0</v>
      </c>
      <c r="N37" s="28"/>
      <c r="O37" s="28"/>
      <c r="P37" s="28"/>
      <c r="Q37" s="118" t="s">
        <v>23</v>
      </c>
      <c r="R37" s="118"/>
      <c r="S37" s="118" t="s">
        <v>23</v>
      </c>
      <c r="T37" s="118"/>
      <c r="U37" s="118" t="s">
        <v>23</v>
      </c>
    </row>
    <row r="38" hidden="1">
      <c r="A38" s="183" t="str">
        <f>HYPERLINK("https://docs.google.com/spreadsheets/d/11kgSN1g0GK37sClxLbfy_k06SXw_K3r3T_SwH58G6SM/edit?usp=sharing","Boo Bernis")</f>
        <v>Boo Bernis</v>
      </c>
      <c r="B38" s="118">
        <v>14.0</v>
      </c>
      <c r="C38" s="28"/>
      <c r="D38" s="118">
        <v>14.0</v>
      </c>
      <c r="E38" s="29"/>
      <c r="F38" s="29"/>
      <c r="G38" s="118">
        <v>37.0</v>
      </c>
      <c r="H38" s="118"/>
      <c r="I38" s="118" t="s">
        <v>9</v>
      </c>
      <c r="J38" s="118" t="s">
        <v>40</v>
      </c>
      <c r="K38" s="118" t="s">
        <v>440</v>
      </c>
      <c r="L38" s="118">
        <v>1.0</v>
      </c>
      <c r="M38" s="118">
        <v>1.0</v>
      </c>
      <c r="N38" s="28"/>
      <c r="O38" s="28"/>
      <c r="P38" s="28"/>
      <c r="Q38" s="118" t="s">
        <v>23</v>
      </c>
      <c r="R38" s="118"/>
      <c r="S38" s="118" t="s">
        <v>23</v>
      </c>
      <c r="T38" s="118"/>
      <c r="U38" s="118" t="s">
        <v>23</v>
      </c>
    </row>
    <row r="39" hidden="1">
      <c r="A39" s="183" t="str">
        <f>HYPERLINK("https://docs.google.com/spreadsheets/d/11kgSN1g0GK37sClxLbfy_k06SXw_K3r3T_SwH58G6SM/edit?usp=sharing","Yau-Man Chan")</f>
        <v>Yau-Man Chan</v>
      </c>
      <c r="B39" s="118">
        <v>14.0</v>
      </c>
      <c r="C39" s="28"/>
      <c r="D39" s="118">
        <v>14.0</v>
      </c>
      <c r="E39" s="29"/>
      <c r="F39" s="29"/>
      <c r="G39" s="118">
        <v>38.0</v>
      </c>
      <c r="H39" s="118"/>
      <c r="I39" s="118" t="s">
        <v>9</v>
      </c>
      <c r="J39" s="118" t="s">
        <v>45</v>
      </c>
      <c r="K39" s="118" t="s">
        <v>1229</v>
      </c>
      <c r="L39" s="28"/>
      <c r="M39" s="28"/>
      <c r="N39" s="28"/>
      <c r="O39" s="118">
        <v>1.0</v>
      </c>
      <c r="P39" s="28"/>
      <c r="Q39" s="118" t="s">
        <v>23</v>
      </c>
      <c r="R39" s="118"/>
      <c r="S39" s="118">
        <v>1.0</v>
      </c>
      <c r="T39" s="118"/>
      <c r="U39" s="118" t="s">
        <v>23</v>
      </c>
    </row>
    <row r="40" hidden="1">
      <c r="A40" s="183" t="str">
        <f>HYPERLINK("https://docs.google.com/spreadsheets/d/11kgSN1g0GK37sClxLbfy_k06SXw_K3r3T_SwH58G6SM/edit?usp=sharing","Dreamz Herd")</f>
        <v>Dreamz Herd</v>
      </c>
      <c r="B40" s="118">
        <v>14.0</v>
      </c>
      <c r="C40" s="28"/>
      <c r="D40" s="118">
        <v>14.0</v>
      </c>
      <c r="E40" s="29"/>
      <c r="F40" s="29"/>
      <c r="G40" s="118">
        <v>39.0</v>
      </c>
      <c r="H40" s="118"/>
      <c r="I40" s="118" t="s">
        <v>9</v>
      </c>
      <c r="J40" s="118" t="s">
        <v>50</v>
      </c>
      <c r="K40" s="118" t="s">
        <v>1230</v>
      </c>
      <c r="L40" s="118">
        <v>1.0</v>
      </c>
      <c r="M40" s="118">
        <v>1.0</v>
      </c>
      <c r="N40" s="28"/>
      <c r="O40" s="28"/>
      <c r="P40" s="28"/>
      <c r="Q40" s="118" t="s">
        <v>23</v>
      </c>
      <c r="R40" s="118"/>
      <c r="S40" s="118" t="s">
        <v>23</v>
      </c>
      <c r="T40" s="118"/>
      <c r="U40" s="118" t="s">
        <v>23</v>
      </c>
    </row>
    <row r="41" hidden="1">
      <c r="A41" s="183" t="str">
        <f>HYPERLINK("https://docs.google.com/spreadsheets/d/11kgSN1g0GK37sClxLbfy_k06SXw_K3r3T_SwH58G6SM/edit?usp=sharing","Cassandra Franklin")</f>
        <v>Cassandra Franklin</v>
      </c>
      <c r="B41" s="118">
        <v>14.0</v>
      </c>
      <c r="C41" s="28"/>
      <c r="D41" s="118">
        <v>14.0</v>
      </c>
      <c r="E41" s="29"/>
      <c r="F41" s="29"/>
      <c r="G41" s="118">
        <v>39.0</v>
      </c>
      <c r="H41" s="118"/>
      <c r="I41" s="118" t="s">
        <v>9</v>
      </c>
      <c r="J41" s="118" t="s">
        <v>50</v>
      </c>
      <c r="K41" s="118" t="s">
        <v>1230</v>
      </c>
      <c r="L41" s="118">
        <v>1.0</v>
      </c>
      <c r="M41" s="118">
        <v>1.0</v>
      </c>
      <c r="N41" s="28"/>
      <c r="O41" s="28"/>
      <c r="P41" s="28"/>
      <c r="Q41" s="118" t="s">
        <v>23</v>
      </c>
      <c r="R41" s="118"/>
      <c r="S41" s="118" t="s">
        <v>23</v>
      </c>
      <c r="T41" s="118"/>
      <c r="U41" s="118" t="s">
        <v>23</v>
      </c>
    </row>
    <row r="42" hidden="1">
      <c r="A42" s="183" t="str">
        <f>HYPERLINK("https://docs.google.com/spreadsheets/d/11kgSN1g0GK37sClxLbfy_k06SXw_K3r3T_SwH58G6SM/edit?usp=sharing","Earl Cole")</f>
        <v>Earl Cole</v>
      </c>
      <c r="B42" s="118">
        <v>14.0</v>
      </c>
      <c r="C42" s="28"/>
      <c r="D42" s="118">
        <v>14.0</v>
      </c>
      <c r="E42" s="29"/>
      <c r="F42" s="29"/>
      <c r="G42" s="118">
        <v>39.0</v>
      </c>
      <c r="H42" s="118"/>
      <c r="I42" s="118" t="s">
        <v>9</v>
      </c>
      <c r="J42" s="118" t="s">
        <v>28</v>
      </c>
      <c r="K42" s="118" t="s">
        <v>1231</v>
      </c>
      <c r="L42" s="28"/>
      <c r="M42" s="28"/>
      <c r="N42" s="28"/>
      <c r="O42" s="118">
        <v>1.0</v>
      </c>
      <c r="P42" s="28"/>
      <c r="Q42" s="118" t="s">
        <v>23</v>
      </c>
      <c r="R42" s="118"/>
      <c r="S42" s="118">
        <v>1.0</v>
      </c>
      <c r="T42" s="118"/>
      <c r="U42" s="118" t="s">
        <v>23</v>
      </c>
    </row>
    <row r="43" hidden="1">
      <c r="A43" s="183" t="str">
        <f>HYPERLINK("https://docs.google.com/spreadsheets/d/1uf0PUce8Amvbd8HKP43YboFMwneOC6oSjEUR9m-v1-M/edit?usp=sharing","Steve ""Chicken"" Morris")</f>
        <v>Steve "Chicken" Morris</v>
      </c>
      <c r="B43" s="118">
        <v>15.0</v>
      </c>
      <c r="C43" s="28"/>
      <c r="D43" s="118">
        <v>1.0</v>
      </c>
      <c r="E43" s="29"/>
      <c r="F43" s="29"/>
      <c r="G43" s="118">
        <v>3.0</v>
      </c>
      <c r="H43" s="118"/>
      <c r="I43" s="118" t="s">
        <v>42</v>
      </c>
      <c r="J43" s="118" t="s">
        <v>60</v>
      </c>
      <c r="K43" s="118" t="s">
        <v>140</v>
      </c>
      <c r="L43" s="118" t="s">
        <v>23</v>
      </c>
      <c r="M43" s="118" t="s">
        <v>23</v>
      </c>
      <c r="N43" s="118" t="s">
        <v>23</v>
      </c>
      <c r="O43" s="118">
        <v>1.0</v>
      </c>
      <c r="P43" s="118" t="s">
        <v>23</v>
      </c>
      <c r="Q43" s="118" t="s">
        <v>23</v>
      </c>
      <c r="R43" s="118"/>
      <c r="S43" s="118" t="s">
        <v>23</v>
      </c>
      <c r="T43" s="118" t="s">
        <v>23</v>
      </c>
      <c r="U43" s="118" t="s">
        <v>23</v>
      </c>
    </row>
    <row r="44" hidden="1">
      <c r="A44" s="183" t="str">
        <f>HYPERLINK("https://docs.google.com/spreadsheets/d/1uf0PUce8Amvbd8HKP43YboFMwneOC6oSjEUR9m-v1-M/edit?usp=sharing","Ashley Massaro")</f>
        <v>Ashley Massaro</v>
      </c>
      <c r="B44" s="118">
        <v>15.0</v>
      </c>
      <c r="C44" s="28"/>
      <c r="D44" s="118">
        <v>2.0</v>
      </c>
      <c r="E44" s="29"/>
      <c r="F44" s="29"/>
      <c r="G44" s="118">
        <v>6.0</v>
      </c>
      <c r="H44" s="118"/>
      <c r="I44" s="118" t="s">
        <v>42</v>
      </c>
      <c r="J44" s="118" t="s">
        <v>60</v>
      </c>
      <c r="K44" s="118" t="s">
        <v>139</v>
      </c>
      <c r="L44" s="28"/>
      <c r="M44" s="28"/>
      <c r="N44" s="28"/>
      <c r="O44" s="118">
        <v>1.0</v>
      </c>
      <c r="P44" s="118" t="s">
        <v>23</v>
      </c>
      <c r="Q44" s="118" t="s">
        <v>23</v>
      </c>
      <c r="R44" s="118"/>
      <c r="S44" s="118" t="s">
        <v>23</v>
      </c>
      <c r="T44" s="118"/>
      <c r="U44" s="118" t="s">
        <v>23</v>
      </c>
    </row>
    <row r="45" hidden="1">
      <c r="A45" s="183" t="str">
        <f>HYPERLINK("https://docs.google.com/spreadsheets/d/1uf0PUce8Amvbd8HKP43YboFMwneOC6oSjEUR9m-v1-M/edit?usp=sharing","Leslie Nease")</f>
        <v>Leslie Nease</v>
      </c>
      <c r="B45" s="118">
        <v>15.0</v>
      </c>
      <c r="C45" s="28"/>
      <c r="D45" s="118">
        <v>3.0</v>
      </c>
      <c r="E45" s="29"/>
      <c r="F45" s="29"/>
      <c r="G45" s="118">
        <v>9.0</v>
      </c>
      <c r="H45" s="118"/>
      <c r="I45" s="118" t="s">
        <v>42</v>
      </c>
      <c r="J45" s="118" t="s">
        <v>60</v>
      </c>
      <c r="K45" s="118" t="s">
        <v>137</v>
      </c>
      <c r="L45" s="118">
        <v>1.0</v>
      </c>
      <c r="M45" s="118">
        <v>1.0</v>
      </c>
      <c r="N45" s="28"/>
      <c r="O45" s="28"/>
      <c r="P45" s="118" t="s">
        <v>23</v>
      </c>
      <c r="Q45" s="118" t="s">
        <v>23</v>
      </c>
      <c r="R45" s="118"/>
      <c r="S45" s="118" t="s">
        <v>23</v>
      </c>
      <c r="T45" s="118"/>
      <c r="U45" s="118" t="s">
        <v>23</v>
      </c>
    </row>
    <row r="46" hidden="1">
      <c r="A46" s="183" t="str">
        <f>HYPERLINK("https://docs.google.com/spreadsheets/d/1uf0PUce8Amvbd8HKP43YboFMwneOC6oSjEUR9m-v1-M/edit?usp=sharing","Dave Cruser")</f>
        <v>Dave Cruser</v>
      </c>
      <c r="B46" s="118">
        <v>15.0</v>
      </c>
      <c r="C46" s="28"/>
      <c r="D46" s="118">
        <v>4.0</v>
      </c>
      <c r="E46" s="29"/>
      <c r="F46" s="29"/>
      <c r="G46" s="118">
        <v>12.0</v>
      </c>
      <c r="H46" s="118"/>
      <c r="I46" s="118" t="s">
        <v>42</v>
      </c>
      <c r="J46" s="118" t="s">
        <v>60</v>
      </c>
      <c r="K46" s="118" t="s">
        <v>107</v>
      </c>
      <c r="L46" s="28"/>
      <c r="M46" s="28"/>
      <c r="N46" s="28"/>
      <c r="O46" s="118">
        <v>1.0</v>
      </c>
      <c r="P46" s="118" t="s">
        <v>23</v>
      </c>
      <c r="Q46" s="118" t="s">
        <v>23</v>
      </c>
      <c r="R46" s="118"/>
      <c r="S46" s="118" t="s">
        <v>23</v>
      </c>
      <c r="T46" s="118"/>
      <c r="U46" s="118" t="s">
        <v>23</v>
      </c>
    </row>
    <row r="47" hidden="1">
      <c r="A47" s="183" t="str">
        <f>HYPERLINK("https://docs.google.com/spreadsheets/d/1uf0PUce8Amvbd8HKP43YboFMwneOC6oSjEUR9m-v1-M/edit?usp=sharing","Aaron Reisberger")</f>
        <v>Aaron Reisberger</v>
      </c>
      <c r="B47" s="118">
        <v>15.0</v>
      </c>
      <c r="C47" s="28"/>
      <c r="D47" s="118">
        <v>5.0</v>
      </c>
      <c r="E47" s="29"/>
      <c r="F47" s="29"/>
      <c r="G47" s="118">
        <v>15.0</v>
      </c>
      <c r="H47" s="118"/>
      <c r="I47" s="118" t="s">
        <v>42</v>
      </c>
      <c r="J47" s="118" t="s">
        <v>60</v>
      </c>
      <c r="K47" s="118" t="s">
        <v>106</v>
      </c>
      <c r="L47" s="118">
        <v>1.0</v>
      </c>
      <c r="M47" s="118">
        <v>1.0</v>
      </c>
      <c r="N47" s="28"/>
      <c r="O47" s="28"/>
      <c r="P47" s="118" t="s">
        <v>23</v>
      </c>
      <c r="Q47" s="118" t="s">
        <v>23</v>
      </c>
      <c r="R47" s="118"/>
      <c r="S47" s="118" t="s">
        <v>23</v>
      </c>
      <c r="T47" s="118"/>
      <c r="U47" s="118" t="s">
        <v>23</v>
      </c>
    </row>
    <row r="48" hidden="1">
      <c r="A48" s="183" t="str">
        <f>HYPERLINK("https://docs.google.com/spreadsheets/d/1uf0PUce8Amvbd8HKP43YboFMwneOC6oSjEUR9m-v1-M/edit?usp=sharing","Sherea Lloyd")</f>
        <v>Sherea Lloyd</v>
      </c>
      <c r="B48" s="118">
        <v>15.0</v>
      </c>
      <c r="C48" s="28"/>
      <c r="D48" s="118">
        <v>6.0</v>
      </c>
      <c r="E48" s="29"/>
      <c r="F48" s="29"/>
      <c r="G48" s="118">
        <v>18.0</v>
      </c>
      <c r="H48" s="118"/>
      <c r="I48" s="118" t="s">
        <v>42</v>
      </c>
      <c r="J48" s="118" t="s">
        <v>60</v>
      </c>
      <c r="K48" s="118" t="s">
        <v>78</v>
      </c>
      <c r="L48" s="28"/>
      <c r="M48" s="28"/>
      <c r="N48" s="28"/>
      <c r="O48" s="118">
        <v>1.0</v>
      </c>
      <c r="P48" s="118" t="s">
        <v>23</v>
      </c>
      <c r="Q48" s="118" t="s">
        <v>23</v>
      </c>
      <c r="R48" s="118"/>
      <c r="S48" s="118" t="s">
        <v>23</v>
      </c>
      <c r="T48" s="118"/>
      <c r="U48" s="118" t="s">
        <v>23</v>
      </c>
    </row>
    <row r="49" hidden="1">
      <c r="A49" s="183" t="str">
        <f>HYPERLINK("https://docs.google.com/spreadsheets/d/1uf0PUce8Amvbd8HKP43YboFMwneOC6oSjEUR9m-v1-M/edit?usp=sharing","Jaime Dugan")</f>
        <v>Jaime Dugan</v>
      </c>
      <c r="B49" s="118">
        <v>15.0</v>
      </c>
      <c r="C49" s="28"/>
      <c r="D49" s="118">
        <v>7.0</v>
      </c>
      <c r="E49" s="29"/>
      <c r="F49" s="29"/>
      <c r="G49" s="118">
        <v>21.0</v>
      </c>
      <c r="H49" s="118"/>
      <c r="I49" s="118" t="s">
        <v>9</v>
      </c>
      <c r="J49" s="118" t="s">
        <v>84</v>
      </c>
      <c r="K49" s="118" t="s">
        <v>61</v>
      </c>
      <c r="L49" s="28"/>
      <c r="M49" s="28"/>
      <c r="N49" s="28"/>
      <c r="O49" s="118">
        <v>1.0</v>
      </c>
      <c r="P49" s="118" t="s">
        <v>23</v>
      </c>
      <c r="Q49" s="118" t="s">
        <v>23</v>
      </c>
      <c r="R49" s="118"/>
      <c r="S49" s="118" t="s">
        <v>23</v>
      </c>
      <c r="T49" s="118"/>
      <c r="U49" s="118" t="s">
        <v>23</v>
      </c>
    </row>
    <row r="50" hidden="1">
      <c r="A50" s="183" t="str">
        <f>HYPERLINK("https://docs.google.com/spreadsheets/d/1uf0PUce8Amvbd8HKP43YboFMwneOC6oSjEUR9m-v1-M/edit?usp=sharing","Jean-Robert Bellande")</f>
        <v>Jean-Robert Bellande</v>
      </c>
      <c r="B50" s="118">
        <v>15.0</v>
      </c>
      <c r="C50" s="28"/>
      <c r="D50" s="118">
        <v>8.0</v>
      </c>
      <c r="E50" s="29"/>
      <c r="F50" s="29"/>
      <c r="G50" s="118">
        <v>24.0</v>
      </c>
      <c r="H50" s="118"/>
      <c r="I50" s="118" t="s">
        <v>9</v>
      </c>
      <c r="J50" s="118" t="s">
        <v>48</v>
      </c>
      <c r="K50" s="118" t="s">
        <v>87</v>
      </c>
      <c r="L50" s="118">
        <v>1.0</v>
      </c>
      <c r="M50" s="118">
        <v>1.0</v>
      </c>
      <c r="N50" s="28"/>
      <c r="O50" s="28"/>
      <c r="P50" s="118" t="s">
        <v>23</v>
      </c>
      <c r="Q50" s="118" t="s">
        <v>23</v>
      </c>
      <c r="R50" s="118"/>
      <c r="S50" s="118" t="s">
        <v>23</v>
      </c>
      <c r="T50" s="118"/>
      <c r="U50" s="118" t="s">
        <v>23</v>
      </c>
    </row>
    <row r="51" hidden="1">
      <c r="A51" s="183" t="str">
        <f>HYPERLINK("https://docs.google.com/spreadsheets/d/1uf0PUce8Amvbd8HKP43YboFMwneOC6oSjEUR9m-v1-M/edit?usp=sharing","Frosti Zernow")</f>
        <v>Frosti Zernow</v>
      </c>
      <c r="B51" s="118">
        <v>15.0</v>
      </c>
      <c r="C51" s="28"/>
      <c r="D51" s="118">
        <v>9.0</v>
      </c>
      <c r="E51" s="29"/>
      <c r="F51" s="29"/>
      <c r="G51" s="118">
        <v>27.0</v>
      </c>
      <c r="H51" s="118"/>
      <c r="I51" s="118" t="s">
        <v>9</v>
      </c>
      <c r="J51" s="118" t="s">
        <v>43</v>
      </c>
      <c r="K51" s="118" t="s">
        <v>49</v>
      </c>
      <c r="L51" s="28"/>
      <c r="M51" s="28"/>
      <c r="N51" s="28"/>
      <c r="O51" s="118">
        <v>1.0</v>
      </c>
      <c r="P51" s="118" t="s">
        <v>23</v>
      </c>
      <c r="Q51" s="118" t="s">
        <v>23</v>
      </c>
      <c r="R51" s="118"/>
      <c r="S51" s="118" t="s">
        <v>23</v>
      </c>
      <c r="T51" s="118"/>
      <c r="U51" s="118" t="s">
        <v>23</v>
      </c>
    </row>
    <row r="52" hidden="1">
      <c r="A52" s="183" t="str">
        <f>HYPERLINK("https://docs.google.com/spreadsheets/d/1uf0PUce8Amvbd8HKP43YboFMwneOC6oSjEUR9m-v1-M/edit?usp=sharing","James Clement")</f>
        <v>James Clement</v>
      </c>
      <c r="B52" s="118">
        <v>15.0</v>
      </c>
      <c r="C52" s="28"/>
      <c r="D52" s="118">
        <v>10.0</v>
      </c>
      <c r="E52" s="29"/>
      <c r="F52" s="29"/>
      <c r="G52" s="118">
        <v>30.0</v>
      </c>
      <c r="H52" s="118"/>
      <c r="I52" s="118" t="s">
        <v>9</v>
      </c>
      <c r="J52" s="118" t="s">
        <v>58</v>
      </c>
      <c r="K52" s="118" t="s">
        <v>57</v>
      </c>
      <c r="L52" s="118">
        <v>1.0</v>
      </c>
      <c r="M52" s="118">
        <v>1.0</v>
      </c>
      <c r="N52" s="28"/>
      <c r="O52" s="28"/>
      <c r="P52" s="118" t="s">
        <v>23</v>
      </c>
      <c r="Q52" s="118" t="s">
        <v>23</v>
      </c>
      <c r="R52" s="118"/>
      <c r="S52" s="118">
        <v>2.0</v>
      </c>
      <c r="T52" s="118"/>
      <c r="U52" s="118" t="s">
        <v>23</v>
      </c>
    </row>
    <row r="53" hidden="1">
      <c r="A53" s="183" t="str">
        <f>HYPERLINK("https://docs.google.com/spreadsheets/d/1uf0PUce8Amvbd8HKP43YboFMwneOC6oSjEUR9m-v1-M/edit?usp=sharing","Erik Huffman")</f>
        <v>Erik Huffman</v>
      </c>
      <c r="B53" s="118">
        <v>15.0</v>
      </c>
      <c r="C53" s="28"/>
      <c r="D53" s="118">
        <v>11.0</v>
      </c>
      <c r="E53" s="29"/>
      <c r="F53" s="29"/>
      <c r="G53" s="118">
        <v>33.0</v>
      </c>
      <c r="H53" s="118"/>
      <c r="I53" s="118" t="s">
        <v>9</v>
      </c>
      <c r="J53" s="118" t="s">
        <v>46</v>
      </c>
      <c r="K53" s="118" t="s">
        <v>59</v>
      </c>
      <c r="L53" s="28"/>
      <c r="M53" s="28"/>
      <c r="N53" s="28"/>
      <c r="O53" s="118">
        <v>1.0</v>
      </c>
      <c r="P53" s="118" t="s">
        <v>23</v>
      </c>
      <c r="Q53" s="118" t="s">
        <v>23</v>
      </c>
      <c r="R53" s="118"/>
      <c r="S53" s="118" t="s">
        <v>23</v>
      </c>
      <c r="T53" s="118"/>
      <c r="U53" s="118" t="s">
        <v>23</v>
      </c>
    </row>
    <row r="54" hidden="1">
      <c r="A54" s="183" t="str">
        <f>HYPERLINK("https://docs.google.com/spreadsheets/d/1uf0PUce8Amvbd8HKP43YboFMwneOC6oSjEUR9m-v1-M/edit?usp=sharing","Peih-Gee Law")</f>
        <v>Peih-Gee Law</v>
      </c>
      <c r="B54" s="118">
        <v>15.0</v>
      </c>
      <c r="C54" s="28"/>
      <c r="D54" s="118">
        <v>12.0</v>
      </c>
      <c r="E54" s="29"/>
      <c r="F54" s="29"/>
      <c r="G54" s="118">
        <v>36.0</v>
      </c>
      <c r="H54" s="118"/>
      <c r="I54" s="118" t="s">
        <v>9</v>
      </c>
      <c r="J54" s="118" t="s">
        <v>37</v>
      </c>
      <c r="K54" s="118" t="s">
        <v>52</v>
      </c>
      <c r="L54" s="28"/>
      <c r="M54" s="28"/>
      <c r="N54" s="28"/>
      <c r="O54" s="118">
        <v>1.0</v>
      </c>
      <c r="P54" s="118" t="s">
        <v>23</v>
      </c>
      <c r="Q54" s="118" t="s">
        <v>23</v>
      </c>
      <c r="R54" s="118"/>
      <c r="S54" s="118" t="s">
        <v>23</v>
      </c>
      <c r="T54" s="118"/>
      <c r="U54" s="118" t="s">
        <v>23</v>
      </c>
    </row>
    <row r="55" hidden="1">
      <c r="A55" s="183" t="str">
        <f>HYPERLINK("https://docs.google.com/spreadsheets/d/1uf0PUce8Amvbd8HKP43YboFMwneOC6oSjEUR9m-v1-M/edit?usp=sharing","Denise Martin")</f>
        <v>Denise Martin</v>
      </c>
      <c r="B55" s="118">
        <v>15.0</v>
      </c>
      <c r="C55" s="28"/>
      <c r="D55" s="118">
        <v>13.0</v>
      </c>
      <c r="E55" s="29"/>
      <c r="F55" s="29"/>
      <c r="G55" s="118">
        <v>38.0</v>
      </c>
      <c r="H55" s="118"/>
      <c r="I55" s="118" t="s">
        <v>9</v>
      </c>
      <c r="J55" s="118" t="s">
        <v>24</v>
      </c>
      <c r="K55" s="118" t="s">
        <v>38</v>
      </c>
      <c r="L55" s="118">
        <v>1.0</v>
      </c>
      <c r="M55" s="118">
        <v>1.0</v>
      </c>
      <c r="N55" s="28"/>
      <c r="O55" s="28"/>
      <c r="P55" s="118" t="s">
        <v>23</v>
      </c>
      <c r="Q55" s="118" t="s">
        <v>23</v>
      </c>
      <c r="R55" s="118"/>
      <c r="S55" s="118" t="s">
        <v>23</v>
      </c>
      <c r="T55" s="118"/>
      <c r="U55" s="118" t="s">
        <v>23</v>
      </c>
    </row>
    <row r="56" hidden="1">
      <c r="A56" s="183" t="str">
        <f>HYPERLINK("https://docs.google.com/spreadsheets/d/1uf0PUce8Amvbd8HKP43YboFMwneOC6oSjEUR9m-v1-M/edit?usp=sharing","Amanda Kimmel")</f>
        <v>Amanda Kimmel</v>
      </c>
      <c r="B56" s="118">
        <v>15.0</v>
      </c>
      <c r="C56" s="28"/>
      <c r="D56" s="118">
        <v>13.0</v>
      </c>
      <c r="E56" s="29"/>
      <c r="F56" s="29"/>
      <c r="G56" s="118">
        <v>39.0</v>
      </c>
      <c r="H56" s="118"/>
      <c r="I56" s="118" t="s">
        <v>9</v>
      </c>
      <c r="J56" s="118" t="s">
        <v>33</v>
      </c>
      <c r="K56" s="118" t="s">
        <v>25</v>
      </c>
      <c r="L56" s="118">
        <v>1.0</v>
      </c>
      <c r="M56" s="118">
        <v>1.0</v>
      </c>
      <c r="N56" s="28"/>
      <c r="O56" s="28"/>
      <c r="P56" s="118" t="s">
        <v>23</v>
      </c>
      <c r="Q56" s="118" t="s">
        <v>23</v>
      </c>
      <c r="R56" s="118"/>
      <c r="S56" s="118" t="s">
        <v>23</v>
      </c>
      <c r="T56" s="118"/>
      <c r="U56" s="118" t="s">
        <v>23</v>
      </c>
    </row>
    <row r="57" hidden="1">
      <c r="A57" s="183" t="str">
        <f>HYPERLINK("https://docs.google.com/spreadsheets/d/1uf0PUce8Amvbd8HKP43YboFMwneOC6oSjEUR9m-v1-M/edit?usp=sharing","Courtney Yates")</f>
        <v>Courtney Yates</v>
      </c>
      <c r="B57" s="118">
        <v>15.0</v>
      </c>
      <c r="C57" s="28"/>
      <c r="D57" s="118">
        <v>13.0</v>
      </c>
      <c r="E57" s="29"/>
      <c r="F57" s="29"/>
      <c r="G57" s="118">
        <v>39.0</v>
      </c>
      <c r="H57" s="118"/>
      <c r="I57" s="118" t="s">
        <v>9</v>
      </c>
      <c r="J57" s="118" t="s">
        <v>31</v>
      </c>
      <c r="K57" s="118" t="s">
        <v>27</v>
      </c>
      <c r="L57" s="118">
        <v>1.0</v>
      </c>
      <c r="M57" s="118">
        <v>1.0</v>
      </c>
      <c r="N57" s="28"/>
      <c r="O57" s="28"/>
      <c r="P57" s="118" t="s">
        <v>23</v>
      </c>
      <c r="Q57" s="118" t="s">
        <v>23</v>
      </c>
      <c r="R57" s="118"/>
      <c r="S57" s="118" t="s">
        <v>23</v>
      </c>
      <c r="T57" s="118"/>
      <c r="U57" s="118" t="s">
        <v>23</v>
      </c>
    </row>
    <row r="58" hidden="1">
      <c r="A58" s="183" t="str">
        <f>HYPERLINK("https://docs.google.com/spreadsheets/d/1uf0PUce8Amvbd8HKP43YboFMwneOC6oSjEUR9m-v1-M/edit?usp=sharing","Todd Herzog")</f>
        <v>Todd Herzog</v>
      </c>
      <c r="B58" s="118">
        <v>15.0</v>
      </c>
      <c r="C58" s="28"/>
      <c r="D58" s="118">
        <v>13.0</v>
      </c>
      <c r="E58" s="29"/>
      <c r="F58" s="29"/>
      <c r="G58" s="118">
        <v>39.0</v>
      </c>
      <c r="H58" s="118"/>
      <c r="I58" s="118" t="s">
        <v>9</v>
      </c>
      <c r="J58" s="118" t="s">
        <v>28</v>
      </c>
      <c r="K58" s="118" t="s">
        <v>30</v>
      </c>
      <c r="L58" s="118">
        <v>1.0</v>
      </c>
      <c r="M58" s="118">
        <v>1.0</v>
      </c>
      <c r="N58" s="28"/>
      <c r="O58" s="28"/>
      <c r="P58" s="118" t="s">
        <v>23</v>
      </c>
      <c r="Q58" s="118" t="s">
        <v>23</v>
      </c>
      <c r="R58" s="118"/>
      <c r="S58" s="118">
        <v>1.0</v>
      </c>
      <c r="T58" s="118"/>
      <c r="U58" s="118" t="s">
        <v>23</v>
      </c>
    </row>
    <row r="59" hidden="1">
      <c r="A59" s="183" t="str">
        <f>HYPERLINK("https://docs.google.com/spreadsheets/d/1J9oyQ-TtIbWGyrhdaC75rNF3E-jIKGfpiGza5Cf0tPc/edit?usp=sharing","Jon Dalton")</f>
        <v>Jon Dalton</v>
      </c>
      <c r="B59" s="118">
        <v>16.0</v>
      </c>
      <c r="C59" s="28"/>
      <c r="D59" s="118">
        <v>1.0</v>
      </c>
      <c r="E59" s="29"/>
      <c r="F59" s="29"/>
      <c r="G59" s="118">
        <v>3.0</v>
      </c>
      <c r="H59" s="118"/>
      <c r="I59" s="118" t="s">
        <v>42</v>
      </c>
      <c r="J59" s="118" t="s">
        <v>60</v>
      </c>
      <c r="K59" s="118" t="s">
        <v>110</v>
      </c>
      <c r="L59" s="118" t="s">
        <v>23</v>
      </c>
      <c r="M59" s="118" t="s">
        <v>23</v>
      </c>
      <c r="N59" s="118" t="s">
        <v>23</v>
      </c>
      <c r="O59" s="118">
        <v>1.0</v>
      </c>
      <c r="P59" s="118" t="s">
        <v>23</v>
      </c>
      <c r="Q59" s="118" t="s">
        <v>23</v>
      </c>
      <c r="R59" s="118"/>
      <c r="S59" s="118" t="s">
        <v>23</v>
      </c>
      <c r="T59" s="118" t="s">
        <v>23</v>
      </c>
      <c r="U59" s="118" t="s">
        <v>23</v>
      </c>
    </row>
    <row r="60" hidden="1">
      <c r="A60" s="183" t="str">
        <f>HYPERLINK("https://docs.google.com/spreadsheets/d/1J9oyQ-TtIbWGyrhdaC75rNF3E-jIKGfpiGza5Cf0tPc/edit?usp=sharing","Mary Sartain")</f>
        <v>Mary Sartain</v>
      </c>
      <c r="B60" s="118">
        <v>16.0</v>
      </c>
      <c r="C60" s="28"/>
      <c r="D60" s="118">
        <v>2.0</v>
      </c>
      <c r="E60" s="29"/>
      <c r="F60" s="29"/>
      <c r="G60" s="118">
        <v>6.0</v>
      </c>
      <c r="H60" s="118"/>
      <c r="I60" s="118" t="s">
        <v>42</v>
      </c>
      <c r="J60" s="118" t="s">
        <v>60</v>
      </c>
      <c r="K60" s="118" t="s">
        <v>131</v>
      </c>
      <c r="L60" s="118">
        <v>1.0</v>
      </c>
      <c r="M60" s="118">
        <v>1.0</v>
      </c>
      <c r="N60" s="28"/>
      <c r="O60" s="28"/>
      <c r="P60" s="28"/>
      <c r="Q60" s="118" t="s">
        <v>23</v>
      </c>
      <c r="R60" s="118"/>
      <c r="S60" s="118" t="s">
        <v>23</v>
      </c>
      <c r="T60" s="118"/>
      <c r="U60" s="118" t="s">
        <v>23</v>
      </c>
    </row>
    <row r="61" hidden="1">
      <c r="A61" s="183" t="str">
        <f>HYPERLINK("https://docs.google.com/spreadsheets/d/1J9oyQ-TtIbWGyrhdaC75rNF3E-jIKGfpiGza5Cf0tPc/edit?usp=sharing","Yau-Man Chan")</f>
        <v>Yau-Man Chan</v>
      </c>
      <c r="B61" s="118">
        <v>16.0</v>
      </c>
      <c r="C61" s="28"/>
      <c r="D61" s="118">
        <v>3.0</v>
      </c>
      <c r="E61" s="29"/>
      <c r="F61" s="29"/>
      <c r="G61" s="118">
        <v>8.0</v>
      </c>
      <c r="H61" s="118"/>
      <c r="I61" s="118" t="s">
        <v>42</v>
      </c>
      <c r="J61" s="118" t="s">
        <v>60</v>
      </c>
      <c r="K61" s="118" t="s">
        <v>124</v>
      </c>
      <c r="L61" s="28"/>
      <c r="M61" s="28"/>
      <c r="N61" s="118">
        <v>1.0</v>
      </c>
      <c r="O61" s="118">
        <v>1.0</v>
      </c>
      <c r="P61" s="28"/>
      <c r="Q61" s="118" t="s">
        <v>23</v>
      </c>
      <c r="R61" s="118"/>
      <c r="S61" s="118" t="s">
        <v>23</v>
      </c>
      <c r="T61" s="118"/>
      <c r="U61" s="118" t="s">
        <v>23</v>
      </c>
    </row>
    <row r="62" hidden="1">
      <c r="A62" s="183" t="str">
        <f>HYPERLINK("https://docs.google.com/spreadsheets/d/1J9oyQ-TtIbWGyrhdaC75rNF3E-jIKGfpiGza5Cf0tPc/edit?usp=sharing","Mikey Bortone")</f>
        <v>Mikey Bortone</v>
      </c>
      <c r="B62" s="118">
        <v>16.0</v>
      </c>
      <c r="C62" s="28"/>
      <c r="D62" s="118">
        <v>4.0</v>
      </c>
      <c r="E62" s="29"/>
      <c r="F62" s="29"/>
      <c r="G62" s="118">
        <v>11.0</v>
      </c>
      <c r="H62" s="118"/>
      <c r="I62" s="118" t="s">
        <v>42</v>
      </c>
      <c r="J62" s="118" t="s">
        <v>60</v>
      </c>
      <c r="K62" s="118" t="s">
        <v>96</v>
      </c>
      <c r="L62" s="118">
        <v>1.0</v>
      </c>
      <c r="M62" s="118">
        <v>1.0</v>
      </c>
      <c r="N62" s="28"/>
      <c r="O62" s="28"/>
      <c r="P62" s="28"/>
      <c r="Q62" s="118" t="s">
        <v>23</v>
      </c>
      <c r="R62" s="118"/>
      <c r="S62" s="118" t="s">
        <v>23</v>
      </c>
      <c r="T62" s="118"/>
      <c r="U62" s="118" t="s">
        <v>23</v>
      </c>
    </row>
    <row r="63" hidden="1">
      <c r="A63" s="183" t="str">
        <f>HYPERLINK("https://docs.google.com/spreadsheets/d/1J9oyQ-TtIbWGyrhdaC75rNF3E-jIKGfpiGza5Cf0tPc/edit?usp=sharing","Joel Anderson")</f>
        <v>Joel Anderson</v>
      </c>
      <c r="B63" s="118">
        <v>16.0</v>
      </c>
      <c r="C63" s="28"/>
      <c r="D63" s="118">
        <v>5.0</v>
      </c>
      <c r="E63" s="29"/>
      <c r="F63" s="29"/>
      <c r="G63" s="118">
        <v>14.0</v>
      </c>
      <c r="H63" s="118"/>
      <c r="I63" s="118" t="s">
        <v>42</v>
      </c>
      <c r="J63" s="118" t="s">
        <v>60</v>
      </c>
      <c r="K63" s="118" t="s">
        <v>103</v>
      </c>
      <c r="L63" s="118">
        <v>1.0</v>
      </c>
      <c r="M63" s="118">
        <v>1.0</v>
      </c>
      <c r="N63" s="28"/>
      <c r="O63" s="28"/>
      <c r="P63" s="28"/>
      <c r="Q63" s="118" t="s">
        <v>23</v>
      </c>
      <c r="R63" s="118"/>
      <c r="S63" s="118" t="s">
        <v>23</v>
      </c>
      <c r="T63" s="118"/>
      <c r="U63" s="118" t="s">
        <v>23</v>
      </c>
    </row>
    <row r="64" hidden="1">
      <c r="A64" s="183" t="str">
        <f>HYPERLINK("https://docs.google.com/spreadsheets/d/1J9oyQ-TtIbWGyrhdaC75rNF3E-jIKGfpiGza5Cf0tPc/edit?usp=sharing","Jonathan Penner")</f>
        <v>Jonathan Penner</v>
      </c>
      <c r="B64" s="118">
        <v>16.0</v>
      </c>
      <c r="C64" s="28"/>
      <c r="D64" s="118">
        <v>6.0</v>
      </c>
      <c r="E64" s="29"/>
      <c r="F64" s="29"/>
      <c r="G64" s="118">
        <v>15.0</v>
      </c>
      <c r="H64" s="118"/>
      <c r="I64" s="118" t="s">
        <v>42</v>
      </c>
      <c r="J64" s="118" t="s">
        <v>60</v>
      </c>
      <c r="K64" s="118" t="s">
        <v>112</v>
      </c>
      <c r="L64" s="28"/>
      <c r="M64" s="28"/>
      <c r="N64" s="28"/>
      <c r="O64" s="118">
        <v>1.0</v>
      </c>
      <c r="P64" s="28"/>
      <c r="Q64" s="118" t="s">
        <v>23</v>
      </c>
      <c r="R64" s="118"/>
      <c r="S64" s="118" t="s">
        <v>23</v>
      </c>
      <c r="T64" s="118"/>
      <c r="U64" s="118" t="s">
        <v>92</v>
      </c>
    </row>
    <row r="65" hidden="1">
      <c r="A65" s="183" t="str">
        <f>HYPERLINK("https://docs.google.com/spreadsheets/d/1J9oyQ-TtIbWGyrhdaC75rNF3E-jIKGfpiGza5Cf0tPc/edit?usp=sharing","Chet Welch")</f>
        <v>Chet Welch</v>
      </c>
      <c r="B65" s="118">
        <v>16.0</v>
      </c>
      <c r="C65" s="28"/>
      <c r="D65" s="118">
        <v>6.0</v>
      </c>
      <c r="E65" s="29"/>
      <c r="F65" s="29"/>
      <c r="G65" s="118">
        <v>17.0</v>
      </c>
      <c r="H65" s="118"/>
      <c r="I65" s="118" t="s">
        <v>42</v>
      </c>
      <c r="J65" s="118" t="s">
        <v>60</v>
      </c>
      <c r="K65" s="118" t="s">
        <v>111</v>
      </c>
      <c r="L65" s="118">
        <v>1.0</v>
      </c>
      <c r="M65" s="118">
        <v>1.0</v>
      </c>
      <c r="N65" s="28"/>
      <c r="O65" s="28"/>
      <c r="P65" s="28"/>
      <c r="Q65" s="118" t="s">
        <v>23</v>
      </c>
      <c r="R65" s="118"/>
      <c r="S65" s="118" t="s">
        <v>23</v>
      </c>
      <c r="T65" s="118"/>
      <c r="U65" s="118" t="s">
        <v>23</v>
      </c>
    </row>
    <row r="66" hidden="1">
      <c r="A66" s="183" t="str">
        <f>HYPERLINK("https://docs.google.com/spreadsheets/d/1J9oyQ-TtIbWGyrhdaC75rNF3E-jIKGfpiGza5Cf0tPc/edit?usp=sharing","Kathy Sleckman")</f>
        <v>Kathy Sleckman</v>
      </c>
      <c r="B66" s="118">
        <v>16.0</v>
      </c>
      <c r="C66" s="28"/>
      <c r="D66" s="118">
        <v>7.0</v>
      </c>
      <c r="E66" s="29"/>
      <c r="F66" s="29"/>
      <c r="G66" s="118">
        <v>19.0</v>
      </c>
      <c r="H66" s="118"/>
      <c r="I66" s="118" t="s">
        <v>42</v>
      </c>
      <c r="J66" s="118" t="s">
        <v>60</v>
      </c>
      <c r="K66" s="118" t="s">
        <v>100</v>
      </c>
      <c r="L66" s="118">
        <v>1.0</v>
      </c>
      <c r="M66" s="118">
        <v>1.0</v>
      </c>
      <c r="N66" s="118">
        <v>1.0</v>
      </c>
      <c r="O66" s="28"/>
      <c r="P66" s="28"/>
      <c r="Q66" s="118" t="s">
        <v>23</v>
      </c>
      <c r="R66" s="118"/>
      <c r="S66" s="118" t="s">
        <v>23</v>
      </c>
      <c r="T66" s="118"/>
      <c r="U66" s="118" t="s">
        <v>64</v>
      </c>
    </row>
    <row r="67" hidden="1">
      <c r="A67" s="183" t="str">
        <f>HYPERLINK("https://docs.google.com/spreadsheets/d/1J9oyQ-TtIbWGyrhdaC75rNF3E-jIKGfpiGza5Cf0tPc/edit?usp=sharing","Tracy Hughes-Wolf")</f>
        <v>Tracy Hughes-Wolf</v>
      </c>
      <c r="B67" s="118">
        <v>16.0</v>
      </c>
      <c r="C67" s="28"/>
      <c r="D67" s="118">
        <v>7.0</v>
      </c>
      <c r="E67" s="29"/>
      <c r="F67" s="29"/>
      <c r="G67" s="118">
        <v>20.0</v>
      </c>
      <c r="H67" s="118"/>
      <c r="I67" s="118" t="s">
        <v>42</v>
      </c>
      <c r="J67" s="118" t="s">
        <v>60</v>
      </c>
      <c r="K67" s="118" t="s">
        <v>82</v>
      </c>
      <c r="L67" s="118">
        <v>1.0</v>
      </c>
      <c r="M67" s="118">
        <v>1.0</v>
      </c>
      <c r="N67" s="28"/>
      <c r="O67" s="28"/>
      <c r="P67" s="28"/>
      <c r="Q67" s="118" t="s">
        <v>23</v>
      </c>
      <c r="R67" s="118"/>
      <c r="S67" s="118" t="s">
        <v>23</v>
      </c>
      <c r="T67" s="118"/>
      <c r="U67" s="118" t="s">
        <v>23</v>
      </c>
    </row>
    <row r="68" hidden="1">
      <c r="A68" s="183" t="str">
        <f>HYPERLINK("https://docs.google.com/spreadsheets/d/1J9oyQ-TtIbWGyrhdaC75rNF3E-jIKGfpiGza5Cf0tPc/edit?usp=sharing","Ami Cusack")</f>
        <v>Ami Cusack</v>
      </c>
      <c r="B68" s="118">
        <v>16.0</v>
      </c>
      <c r="C68" s="28"/>
      <c r="D68" s="118">
        <v>8.0</v>
      </c>
      <c r="E68" s="29"/>
      <c r="F68" s="29"/>
      <c r="G68" s="118">
        <v>21.0</v>
      </c>
      <c r="H68" s="118"/>
      <c r="I68" s="118" t="s">
        <v>42</v>
      </c>
      <c r="J68" s="118" t="s">
        <v>60</v>
      </c>
      <c r="K68" s="118" t="s">
        <v>69</v>
      </c>
      <c r="L68" s="28"/>
      <c r="M68" s="28"/>
      <c r="N68" s="28"/>
      <c r="O68" s="118">
        <v>1.0</v>
      </c>
      <c r="P68" s="28"/>
      <c r="Q68" s="118" t="s">
        <v>23</v>
      </c>
      <c r="R68" s="118"/>
      <c r="S68" s="118" t="s">
        <v>23</v>
      </c>
      <c r="T68" s="118"/>
      <c r="U68" s="118" t="s">
        <v>23</v>
      </c>
    </row>
    <row r="69" hidden="1">
      <c r="A69" s="183" t="str">
        <f>HYPERLINK("https://docs.google.com/spreadsheets/d/1J9oyQ-TtIbWGyrhdaC75rNF3E-jIKGfpiGza5Cf0tPc/edit?usp=sharing","Eliza Orlins")</f>
        <v>Eliza Orlins</v>
      </c>
      <c r="B69" s="118">
        <v>16.0</v>
      </c>
      <c r="C69" s="28"/>
      <c r="D69" s="118">
        <v>9.0</v>
      </c>
      <c r="E69" s="29"/>
      <c r="F69" s="29"/>
      <c r="G69" s="118">
        <v>24.0</v>
      </c>
      <c r="H69" s="118"/>
      <c r="I69" s="118" t="s">
        <v>9</v>
      </c>
      <c r="J69" s="118" t="s">
        <v>84</v>
      </c>
      <c r="K69" s="118" t="s">
        <v>86</v>
      </c>
      <c r="L69" s="28"/>
      <c r="M69" s="28"/>
      <c r="N69" s="28"/>
      <c r="O69" s="118">
        <v>1.0</v>
      </c>
      <c r="P69" s="28"/>
      <c r="Q69" s="118" t="s">
        <v>23</v>
      </c>
      <c r="R69" s="118"/>
      <c r="S69" s="118" t="s">
        <v>23</v>
      </c>
      <c r="T69" s="118"/>
      <c r="U69" s="118" t="s">
        <v>23</v>
      </c>
    </row>
    <row r="70" hidden="1">
      <c r="A70" s="183" t="str">
        <f>HYPERLINK("https://docs.google.com/spreadsheets/d/1J9oyQ-TtIbWGyrhdaC75rNF3E-jIKGfpiGza5Cf0tPc/edit?usp=sharing","Ozzy Lusth")</f>
        <v>Ozzy Lusth</v>
      </c>
      <c r="B70" s="118">
        <v>16.0</v>
      </c>
      <c r="C70" s="28"/>
      <c r="D70" s="118">
        <v>10.0</v>
      </c>
      <c r="E70" s="29"/>
      <c r="F70" s="29"/>
      <c r="G70" s="118">
        <v>27.0</v>
      </c>
      <c r="H70" s="118"/>
      <c r="I70" s="118" t="s">
        <v>9</v>
      </c>
      <c r="J70" s="118" t="s">
        <v>48</v>
      </c>
      <c r="K70" s="118" t="s">
        <v>63</v>
      </c>
      <c r="L70" s="28"/>
      <c r="M70" s="28"/>
      <c r="N70" s="28"/>
      <c r="O70" s="118">
        <v>1.0</v>
      </c>
      <c r="P70" s="28"/>
      <c r="Q70" s="118" t="s">
        <v>23</v>
      </c>
      <c r="R70" s="118"/>
      <c r="S70" s="118">
        <v>1.0</v>
      </c>
      <c r="T70" s="118"/>
      <c r="U70" s="118" t="s">
        <v>23</v>
      </c>
    </row>
    <row r="71" hidden="1">
      <c r="A71" s="183" t="str">
        <f>HYPERLINK("https://docs.google.com/spreadsheets/d/1J9oyQ-TtIbWGyrhdaC75rNF3E-jIKGfpiGza5Cf0tPc/edit?usp=sharing","Jason Siska")</f>
        <v>Jason Siska</v>
      </c>
      <c r="B71" s="118">
        <v>16.0</v>
      </c>
      <c r="C71" s="28"/>
      <c r="D71" s="118">
        <v>11.0</v>
      </c>
      <c r="E71" s="29"/>
      <c r="F71" s="29"/>
      <c r="G71" s="118">
        <v>30.0</v>
      </c>
      <c r="H71" s="118"/>
      <c r="I71" s="118" t="s">
        <v>9</v>
      </c>
      <c r="J71" s="118" t="s">
        <v>43</v>
      </c>
      <c r="K71" s="118" t="s">
        <v>71</v>
      </c>
      <c r="L71" s="118">
        <v>1.0</v>
      </c>
      <c r="M71" s="118">
        <v>1.0</v>
      </c>
      <c r="N71" s="28"/>
      <c r="O71" s="28"/>
      <c r="P71" s="28"/>
      <c r="Q71" s="118" t="s">
        <v>23</v>
      </c>
      <c r="R71" s="118"/>
      <c r="S71" s="118">
        <v>1.0</v>
      </c>
      <c r="T71" s="118"/>
      <c r="U71" s="118" t="s">
        <v>23</v>
      </c>
    </row>
    <row r="72" hidden="1">
      <c r="A72" s="183" t="str">
        <f>HYPERLINK("https://docs.google.com/spreadsheets/d/1J9oyQ-TtIbWGyrhdaC75rNF3E-jIKGfpiGza5Cf0tPc/edit?usp=sharing","James Clement")</f>
        <v>James Clement</v>
      </c>
      <c r="B72" s="118">
        <v>16.0</v>
      </c>
      <c r="C72" s="28"/>
      <c r="D72" s="118">
        <v>12.0</v>
      </c>
      <c r="E72" s="29"/>
      <c r="F72" s="29"/>
      <c r="G72" s="118">
        <v>31.0</v>
      </c>
      <c r="H72" s="118"/>
      <c r="I72" s="118" t="s">
        <v>9</v>
      </c>
      <c r="J72" s="118" t="s">
        <v>58</v>
      </c>
      <c r="K72" s="118" t="s">
        <v>44</v>
      </c>
      <c r="L72" s="28"/>
      <c r="M72" s="28"/>
      <c r="N72" s="28"/>
      <c r="O72" s="118">
        <v>1.0</v>
      </c>
      <c r="P72" s="28"/>
      <c r="Q72" s="118" t="s">
        <v>23</v>
      </c>
      <c r="R72" s="118"/>
      <c r="S72" s="118" t="s">
        <v>23</v>
      </c>
      <c r="T72" s="118"/>
      <c r="U72" s="118" t="s">
        <v>92</v>
      </c>
    </row>
    <row r="73" hidden="1">
      <c r="A73" s="183" t="str">
        <f>HYPERLINK("https://docs.google.com/spreadsheets/d/1J9oyQ-TtIbWGyrhdaC75rNF3E-jIKGfpiGza5Cf0tPc/edit?usp=sharing","Alexis Jones")</f>
        <v>Alexis Jones</v>
      </c>
      <c r="B73" s="118">
        <v>16.0</v>
      </c>
      <c r="C73" s="28"/>
      <c r="D73" s="118">
        <v>12.0</v>
      </c>
      <c r="E73" s="29"/>
      <c r="F73" s="29"/>
      <c r="G73" s="118">
        <v>33.0</v>
      </c>
      <c r="H73" s="118"/>
      <c r="I73" s="118" t="s">
        <v>9</v>
      </c>
      <c r="J73" s="118" t="s">
        <v>46</v>
      </c>
      <c r="K73" s="118" t="s">
        <v>65</v>
      </c>
      <c r="L73" s="118">
        <v>1.0</v>
      </c>
      <c r="M73" s="118">
        <v>1.0</v>
      </c>
      <c r="N73" s="28"/>
      <c r="O73" s="28"/>
      <c r="P73" s="28"/>
      <c r="Q73" s="118" t="s">
        <v>23</v>
      </c>
      <c r="R73" s="118"/>
      <c r="S73" s="118" t="s">
        <v>23</v>
      </c>
      <c r="T73" s="118"/>
      <c r="U73" s="118" t="s">
        <v>23</v>
      </c>
    </row>
    <row r="74" hidden="1">
      <c r="A74" s="183" t="str">
        <f>HYPERLINK("https://docs.google.com/spreadsheets/d/1J9oyQ-TtIbWGyrhdaC75rNF3E-jIKGfpiGza5Cf0tPc/edit?usp=sharing","Erik Reichenbach")</f>
        <v>Erik Reichenbach</v>
      </c>
      <c r="B74" s="118">
        <v>16.0</v>
      </c>
      <c r="C74" s="28"/>
      <c r="D74" s="118">
        <v>13.0</v>
      </c>
      <c r="E74" s="29"/>
      <c r="F74" s="29"/>
      <c r="G74" s="118">
        <v>36.0</v>
      </c>
      <c r="H74" s="118"/>
      <c r="I74" s="118" t="s">
        <v>9</v>
      </c>
      <c r="J74" s="118" t="s">
        <v>37</v>
      </c>
      <c r="K74" s="118" t="s">
        <v>67</v>
      </c>
      <c r="L74" s="118">
        <v>1.0</v>
      </c>
      <c r="M74" s="118">
        <v>1.0</v>
      </c>
      <c r="N74" s="28"/>
      <c r="O74" s="28"/>
      <c r="P74" s="28"/>
      <c r="Q74" s="118" t="s">
        <v>23</v>
      </c>
      <c r="R74" s="118"/>
      <c r="S74" s="118" t="s">
        <v>23</v>
      </c>
      <c r="T74" s="118"/>
      <c r="U74" s="118" t="s">
        <v>23</v>
      </c>
    </row>
    <row r="75" hidden="1">
      <c r="A75" s="183" t="str">
        <f>HYPERLINK("https://docs.google.com/spreadsheets/d/1J9oyQ-TtIbWGyrhdaC75rNF3E-jIKGfpiGza5Cf0tPc/edit?usp=sharing","Natalie Bolton")</f>
        <v>Natalie Bolton</v>
      </c>
      <c r="B75" s="118">
        <v>16.0</v>
      </c>
      <c r="C75" s="28"/>
      <c r="D75" s="118">
        <v>14.0</v>
      </c>
      <c r="E75" s="29"/>
      <c r="F75" s="29"/>
      <c r="G75" s="118">
        <v>37.0</v>
      </c>
      <c r="H75" s="118"/>
      <c r="I75" s="118" t="s">
        <v>9</v>
      </c>
      <c r="J75" s="118" t="s">
        <v>24</v>
      </c>
      <c r="K75" s="118" t="s">
        <v>55</v>
      </c>
      <c r="L75" s="118">
        <v>1.0</v>
      </c>
      <c r="M75" s="118">
        <v>1.0</v>
      </c>
      <c r="N75" s="28"/>
      <c r="O75" s="28"/>
      <c r="P75" s="28"/>
      <c r="Q75" s="118" t="s">
        <v>23</v>
      </c>
      <c r="R75" s="118"/>
      <c r="S75" s="118" t="s">
        <v>23</v>
      </c>
      <c r="T75" s="118"/>
      <c r="U75" s="118" t="s">
        <v>23</v>
      </c>
    </row>
    <row r="76" hidden="1">
      <c r="A76" s="183" t="str">
        <f>HYPERLINK("https://docs.google.com/spreadsheets/d/1J9oyQ-TtIbWGyrhdaC75rNF3E-jIKGfpiGza5Cf0tPc/edit?usp=sharing","Cirie Fields")</f>
        <v>Cirie Fields</v>
      </c>
      <c r="B76" s="118">
        <v>16.0</v>
      </c>
      <c r="C76" s="28"/>
      <c r="D76" s="118">
        <v>14.0</v>
      </c>
      <c r="E76" s="29"/>
      <c r="F76" s="29"/>
      <c r="G76" s="118">
        <v>38.0</v>
      </c>
      <c r="H76" s="118"/>
      <c r="I76" s="118" t="s">
        <v>9</v>
      </c>
      <c r="J76" s="118" t="s">
        <v>40</v>
      </c>
      <c r="K76" s="118" t="s">
        <v>62</v>
      </c>
      <c r="L76" s="28"/>
      <c r="M76" s="28"/>
      <c r="N76" s="28"/>
      <c r="O76" s="118">
        <v>1.0</v>
      </c>
      <c r="P76" s="28"/>
      <c r="Q76" s="118" t="s">
        <v>23</v>
      </c>
      <c r="R76" s="118"/>
      <c r="S76" s="118" t="s">
        <v>23</v>
      </c>
      <c r="T76" s="118"/>
      <c r="U76" s="118" t="s">
        <v>23</v>
      </c>
    </row>
    <row r="77" hidden="1">
      <c r="A77" s="183" t="str">
        <f>HYPERLINK("https://docs.google.com/spreadsheets/d/1J9oyQ-TtIbWGyrhdaC75rNF3E-jIKGfpiGza5Cf0tPc/edit?usp=sharing","Amanda Kimmel")</f>
        <v>Amanda Kimmel</v>
      </c>
      <c r="B77" s="118">
        <v>16.0</v>
      </c>
      <c r="C77" s="28"/>
      <c r="D77" s="118">
        <v>14.0</v>
      </c>
      <c r="E77" s="29"/>
      <c r="F77" s="29"/>
      <c r="G77" s="118">
        <v>39.0</v>
      </c>
      <c r="H77" s="118"/>
      <c r="I77" s="118" t="s">
        <v>9</v>
      </c>
      <c r="J77" s="118" t="s">
        <v>26</v>
      </c>
      <c r="K77" s="118" t="s">
        <v>39</v>
      </c>
      <c r="L77" s="28"/>
      <c r="M77" s="28"/>
      <c r="N77" s="28"/>
      <c r="O77" s="118">
        <v>1.0</v>
      </c>
      <c r="P77" s="28"/>
      <c r="Q77" s="118" t="s">
        <v>23</v>
      </c>
      <c r="R77" s="118"/>
      <c r="S77" s="118">
        <v>1.0</v>
      </c>
      <c r="T77" s="118"/>
      <c r="U77" s="118" t="s">
        <v>23</v>
      </c>
    </row>
    <row r="78" hidden="1">
      <c r="A78" s="183" t="str">
        <f>HYPERLINK("https://docs.google.com/spreadsheets/d/1J9oyQ-TtIbWGyrhdaC75rNF3E-jIKGfpiGza5Cf0tPc/edit?usp=sharing","Parvati Shallow")</f>
        <v>Parvati Shallow</v>
      </c>
      <c r="B78" s="118">
        <v>16.0</v>
      </c>
      <c r="C78" s="28"/>
      <c r="D78" s="118">
        <v>14.0</v>
      </c>
      <c r="E78" s="29"/>
      <c r="F78" s="29"/>
      <c r="G78" s="118">
        <v>39.0</v>
      </c>
      <c r="H78" s="118"/>
      <c r="I78" s="118" t="s">
        <v>9</v>
      </c>
      <c r="J78" s="118" t="s">
        <v>28</v>
      </c>
      <c r="K78" s="118" t="s">
        <v>36</v>
      </c>
      <c r="L78" s="28"/>
      <c r="M78" s="28"/>
      <c r="N78" s="28"/>
      <c r="O78" s="118">
        <v>1.0</v>
      </c>
      <c r="P78" s="28"/>
      <c r="Q78" s="118" t="s">
        <v>23</v>
      </c>
      <c r="R78" s="118"/>
      <c r="S78" s="118" t="s">
        <v>23</v>
      </c>
      <c r="T78" s="118"/>
      <c r="U78" s="118" t="s">
        <v>23</v>
      </c>
    </row>
    <row r="79" hidden="1">
      <c r="A79" s="183" t="str">
        <f>HYPERLINK("https://docs.google.com/spreadsheets/d/1ERgQdXeAWbVo-QiaitRphUS1E5b1SngyK3FFWH-uwlc/edit?usp=sharing","Michelle Chase")</f>
        <v>Michelle Chase</v>
      </c>
      <c r="B79" s="118">
        <v>17.0</v>
      </c>
      <c r="C79" s="28"/>
      <c r="D79" s="118">
        <v>1.0</v>
      </c>
      <c r="E79" s="29"/>
      <c r="F79" s="29"/>
      <c r="G79" s="118">
        <v>3.0</v>
      </c>
      <c r="H79" s="118"/>
      <c r="I79" s="118" t="s">
        <v>42</v>
      </c>
      <c r="J79" s="118" t="s">
        <v>60</v>
      </c>
      <c r="K79" s="118" t="s">
        <v>138</v>
      </c>
      <c r="L79" s="118" t="s">
        <v>23</v>
      </c>
      <c r="M79" s="118" t="s">
        <v>23</v>
      </c>
      <c r="N79" s="118" t="s">
        <v>23</v>
      </c>
      <c r="O79" s="118">
        <v>1.0</v>
      </c>
      <c r="P79" s="118" t="s">
        <v>23</v>
      </c>
      <c r="Q79" s="118" t="s">
        <v>23</v>
      </c>
      <c r="R79" s="118"/>
      <c r="S79" s="118" t="s">
        <v>23</v>
      </c>
      <c r="T79" s="118" t="s">
        <v>23</v>
      </c>
      <c r="U79" s="118" t="s">
        <v>23</v>
      </c>
    </row>
    <row r="80" hidden="1">
      <c r="A80" s="183" t="str">
        <f>HYPERLINK("https://docs.google.com/spreadsheets/d/1ERgQdXeAWbVo-QiaitRphUS1E5b1SngyK3FFWH-uwlc/edit?usp=sharing","Gillian Larson")</f>
        <v>Gillian Larson</v>
      </c>
      <c r="B80" s="118">
        <v>17.0</v>
      </c>
      <c r="C80" s="28"/>
      <c r="D80" s="118">
        <v>2.0</v>
      </c>
      <c r="E80" s="29"/>
      <c r="F80" s="29"/>
      <c r="G80" s="118">
        <v>6.0</v>
      </c>
      <c r="H80" s="118"/>
      <c r="I80" s="118" t="s">
        <v>42</v>
      </c>
      <c r="J80" s="118" t="s">
        <v>60</v>
      </c>
      <c r="K80" s="118" t="s">
        <v>128</v>
      </c>
      <c r="L80" s="28"/>
      <c r="M80" s="28"/>
      <c r="N80" s="28"/>
      <c r="O80" s="118">
        <v>1.0</v>
      </c>
      <c r="P80" s="28"/>
      <c r="Q80" s="118" t="s">
        <v>23</v>
      </c>
      <c r="R80" s="118"/>
      <c r="S80" s="118" t="s">
        <v>23</v>
      </c>
      <c r="T80" s="118"/>
      <c r="U80" s="118" t="s">
        <v>23</v>
      </c>
    </row>
    <row r="81" hidden="1">
      <c r="A81" s="183" t="str">
        <f>HYPERLINK("https://docs.google.com/spreadsheets/d/1ERgQdXeAWbVo-QiaitRphUS1E5b1SngyK3FFWH-uwlc/edit?usp=sharing","Paloma Soto-Castillo")</f>
        <v>Paloma Soto-Castillo</v>
      </c>
      <c r="B81" s="118">
        <v>17.0</v>
      </c>
      <c r="C81" s="28"/>
      <c r="D81" s="118">
        <v>3.0</v>
      </c>
      <c r="E81" s="29"/>
      <c r="F81" s="29"/>
      <c r="G81" s="118">
        <v>9.0</v>
      </c>
      <c r="H81" s="118"/>
      <c r="I81" s="118" t="s">
        <v>42</v>
      </c>
      <c r="J81" s="118" t="s">
        <v>60</v>
      </c>
      <c r="K81" s="118" t="s">
        <v>136</v>
      </c>
      <c r="L81" s="118">
        <v>1.0</v>
      </c>
      <c r="M81" s="118">
        <v>1.0</v>
      </c>
      <c r="N81" s="28"/>
      <c r="O81" s="28"/>
      <c r="P81" s="28"/>
      <c r="Q81" s="118" t="s">
        <v>23</v>
      </c>
      <c r="R81" s="118"/>
      <c r="S81" s="118" t="s">
        <v>23</v>
      </c>
      <c r="T81" s="118"/>
      <c r="U81" s="118" t="s">
        <v>23</v>
      </c>
    </row>
    <row r="82" hidden="1">
      <c r="A82" s="183" t="str">
        <f>HYPERLINK("https://docs.google.com/spreadsheets/d/1ERgQdXeAWbVo-QiaitRphUS1E5b1SngyK3FFWH-uwlc/edit?usp=sharing","Jacquie Berg")</f>
        <v>Jacquie Berg</v>
      </c>
      <c r="B82" s="118">
        <v>17.0</v>
      </c>
      <c r="C82" s="28"/>
      <c r="D82" s="118">
        <v>4.0</v>
      </c>
      <c r="E82" s="29"/>
      <c r="F82" s="29"/>
      <c r="G82" s="118">
        <v>12.0</v>
      </c>
      <c r="H82" s="118"/>
      <c r="I82" s="118" t="s">
        <v>42</v>
      </c>
      <c r="J82" s="118" t="s">
        <v>60</v>
      </c>
      <c r="K82" s="118" t="s">
        <v>113</v>
      </c>
      <c r="L82" s="118">
        <v>1.0</v>
      </c>
      <c r="M82" s="118">
        <v>1.0</v>
      </c>
      <c r="N82" s="28"/>
      <c r="O82" s="28"/>
      <c r="P82" s="28"/>
      <c r="Q82" s="118" t="s">
        <v>23</v>
      </c>
      <c r="R82" s="118"/>
      <c r="S82" s="118" t="s">
        <v>23</v>
      </c>
      <c r="T82" s="118"/>
      <c r="U82" s="118" t="s">
        <v>23</v>
      </c>
    </row>
    <row r="83" hidden="1">
      <c r="A83" s="183" t="str">
        <f>HYPERLINK("https://docs.google.com/spreadsheets/d/1ERgQdXeAWbVo-QiaitRphUS1E5b1SngyK3FFWH-uwlc/edit?usp=sharing","GC Brown")</f>
        <v>GC Brown</v>
      </c>
      <c r="B83" s="118">
        <v>17.0</v>
      </c>
      <c r="C83" s="28"/>
      <c r="D83" s="118">
        <v>5.0</v>
      </c>
      <c r="E83" s="29"/>
      <c r="F83" s="29"/>
      <c r="G83" s="118">
        <v>15.0</v>
      </c>
      <c r="H83" s="118"/>
      <c r="I83" s="118" t="s">
        <v>42</v>
      </c>
      <c r="J83" s="118" t="s">
        <v>60</v>
      </c>
      <c r="K83" s="118" t="s">
        <v>114</v>
      </c>
      <c r="L83" s="28"/>
      <c r="M83" s="28"/>
      <c r="N83" s="118">
        <v>1.0</v>
      </c>
      <c r="O83" s="118">
        <v>1.0</v>
      </c>
      <c r="P83" s="28"/>
      <c r="Q83" s="118" t="s">
        <v>23</v>
      </c>
      <c r="R83" s="118"/>
      <c r="S83" s="118" t="s">
        <v>23</v>
      </c>
      <c r="T83" s="118"/>
      <c r="U83" s="118" t="s">
        <v>23</v>
      </c>
    </row>
    <row r="84" hidden="1">
      <c r="A84" s="183" t="str">
        <f>HYPERLINK("https://docs.google.com/spreadsheets/d/1ERgQdXeAWbVo-QiaitRphUS1E5b1SngyK3FFWH-uwlc/edit?usp=sharing","Kelly Czarnecki")</f>
        <v>Kelly Czarnecki</v>
      </c>
      <c r="B84" s="118">
        <v>17.0</v>
      </c>
      <c r="C84" s="28"/>
      <c r="D84" s="118">
        <v>6.0</v>
      </c>
      <c r="E84" s="29"/>
      <c r="F84" s="29"/>
      <c r="G84" s="118">
        <v>18.0</v>
      </c>
      <c r="H84" s="118"/>
      <c r="I84" s="118" t="s">
        <v>42</v>
      </c>
      <c r="J84" s="118" t="s">
        <v>60</v>
      </c>
      <c r="K84" s="118" t="s">
        <v>91</v>
      </c>
      <c r="L84" s="118">
        <v>1.0</v>
      </c>
      <c r="M84" s="118">
        <v>1.0</v>
      </c>
      <c r="N84" s="28"/>
      <c r="O84" s="28"/>
      <c r="P84" s="28"/>
      <c r="Q84" s="118" t="s">
        <v>23</v>
      </c>
      <c r="R84" s="118"/>
      <c r="S84" s="118" t="s">
        <v>23</v>
      </c>
      <c r="T84" s="118"/>
      <c r="U84" s="118" t="s">
        <v>23</v>
      </c>
    </row>
    <row r="85" hidden="1">
      <c r="A85" s="183" t="str">
        <f>HYPERLINK("https://docs.google.com/spreadsheets/d/1ERgQdXeAWbVo-QiaitRphUS1E5b1SngyK3FFWH-uwlc/edit?usp=sharing","Ace Gordon")</f>
        <v>Ace Gordon</v>
      </c>
      <c r="B85" s="118">
        <v>17.0</v>
      </c>
      <c r="C85" s="28"/>
      <c r="D85" s="118">
        <v>7.0</v>
      </c>
      <c r="E85" s="29"/>
      <c r="F85" s="29"/>
      <c r="G85" s="118">
        <v>21.0</v>
      </c>
      <c r="H85" s="118"/>
      <c r="I85" s="118" t="s">
        <v>42</v>
      </c>
      <c r="J85" s="118" t="s">
        <v>60</v>
      </c>
      <c r="K85" s="118" t="s">
        <v>105</v>
      </c>
      <c r="L85" s="118">
        <v>1.0</v>
      </c>
      <c r="M85" s="118">
        <v>1.0</v>
      </c>
      <c r="N85" s="28"/>
      <c r="O85" s="28"/>
      <c r="P85" s="28"/>
      <c r="Q85" s="118" t="s">
        <v>23</v>
      </c>
      <c r="R85" s="118"/>
      <c r="S85" s="118">
        <v>1.0</v>
      </c>
      <c r="T85" s="118"/>
      <c r="U85" s="118" t="s">
        <v>23</v>
      </c>
    </row>
    <row r="86" hidden="1">
      <c r="A86" s="183" t="str">
        <f>HYPERLINK("https://docs.google.com/spreadsheets/d/1ERgQdXeAWbVo-QiaitRphUS1E5b1SngyK3FFWH-uwlc/edit?usp=sharing","Dan Kay")</f>
        <v>Dan Kay</v>
      </c>
      <c r="B86" s="118">
        <v>17.0</v>
      </c>
      <c r="C86" s="28"/>
      <c r="D86" s="118">
        <v>7.0</v>
      </c>
      <c r="E86" s="29"/>
      <c r="F86" s="29"/>
      <c r="G86" s="118">
        <v>21.0</v>
      </c>
      <c r="H86" s="118"/>
      <c r="I86" s="118" t="s">
        <v>42</v>
      </c>
      <c r="J86" s="118" t="s">
        <v>60</v>
      </c>
      <c r="K86" s="118" t="s">
        <v>85</v>
      </c>
      <c r="L86" s="28"/>
      <c r="M86" s="28"/>
      <c r="N86" s="28"/>
      <c r="O86" s="118">
        <v>1.0</v>
      </c>
      <c r="P86" s="28"/>
      <c r="Q86" s="118" t="s">
        <v>23</v>
      </c>
      <c r="R86" s="118"/>
      <c r="S86" s="118" t="s">
        <v>23</v>
      </c>
      <c r="T86" s="118"/>
      <c r="U86" s="118" t="s">
        <v>23</v>
      </c>
    </row>
    <row r="87" hidden="1">
      <c r="A87" s="183" t="str">
        <f>HYPERLINK("https://docs.google.com/spreadsheets/d/1ERgQdXeAWbVo-QiaitRphUS1E5b1SngyK3FFWH-uwlc/edit?usp=sharing","Marcus Lehman")</f>
        <v>Marcus Lehman</v>
      </c>
      <c r="B87" s="118">
        <v>17.0</v>
      </c>
      <c r="C87" s="28"/>
      <c r="D87" s="118">
        <v>8.0</v>
      </c>
      <c r="E87" s="29"/>
      <c r="F87" s="29"/>
      <c r="G87" s="118">
        <v>24.0</v>
      </c>
      <c r="H87" s="118"/>
      <c r="I87" s="118" t="s">
        <v>42</v>
      </c>
      <c r="J87" s="118" t="s">
        <v>84</v>
      </c>
      <c r="K87" s="118" t="s">
        <v>68</v>
      </c>
      <c r="L87" s="118">
        <v>1.0</v>
      </c>
      <c r="M87" s="118">
        <v>1.0</v>
      </c>
      <c r="N87" s="118">
        <v>1.0</v>
      </c>
      <c r="O87" s="28"/>
      <c r="P87" s="28"/>
      <c r="Q87" s="118" t="s">
        <v>23</v>
      </c>
      <c r="R87" s="118"/>
      <c r="S87" s="118" t="s">
        <v>23</v>
      </c>
      <c r="T87" s="118"/>
      <c r="U87" s="118" t="s">
        <v>23</v>
      </c>
    </row>
    <row r="88" hidden="1">
      <c r="A88" s="183" t="str">
        <f>HYPERLINK("https://docs.google.com/spreadsheets/d/1ERgQdXeAWbVo-QiaitRphUS1E5b1SngyK3FFWH-uwlc/edit?usp=sharing","Charlie Herschel")</f>
        <v>Charlie Herschel</v>
      </c>
      <c r="B88" s="118">
        <v>17.0</v>
      </c>
      <c r="C88" s="28"/>
      <c r="D88" s="118">
        <v>9.0</v>
      </c>
      <c r="E88" s="29"/>
      <c r="F88" s="29"/>
      <c r="G88" s="118">
        <v>27.0</v>
      </c>
      <c r="H88" s="118"/>
      <c r="I88" s="118" t="s">
        <v>9</v>
      </c>
      <c r="J88" s="118" t="s">
        <v>48</v>
      </c>
      <c r="K88" s="118" t="s">
        <v>83</v>
      </c>
      <c r="L88" s="118">
        <v>1.0</v>
      </c>
      <c r="M88" s="118">
        <v>1.0</v>
      </c>
      <c r="N88" s="28"/>
      <c r="O88" s="28"/>
      <c r="P88" s="28"/>
      <c r="Q88" s="118" t="s">
        <v>23</v>
      </c>
      <c r="R88" s="118"/>
      <c r="S88" s="118" t="s">
        <v>23</v>
      </c>
      <c r="T88" s="118"/>
      <c r="U88" s="118" t="s">
        <v>23</v>
      </c>
    </row>
    <row r="89" hidden="1">
      <c r="A89" s="183" t="str">
        <f>HYPERLINK("https://docs.google.com/spreadsheets/d/1ERgQdXeAWbVo-QiaitRphUS1E5b1SngyK3FFWH-uwlc/edit?usp=sharing","Randy Bailey")</f>
        <v>Randy Bailey</v>
      </c>
      <c r="B89" s="118">
        <v>17.0</v>
      </c>
      <c r="C89" s="28"/>
      <c r="D89" s="118">
        <v>10.0</v>
      </c>
      <c r="E89" s="29"/>
      <c r="F89" s="29"/>
      <c r="G89" s="118">
        <v>30.0</v>
      </c>
      <c r="H89" s="118"/>
      <c r="I89" s="118" t="s">
        <v>9</v>
      </c>
      <c r="J89" s="118" t="s">
        <v>43</v>
      </c>
      <c r="K89" s="118" t="s">
        <v>47</v>
      </c>
      <c r="L89" s="28"/>
      <c r="M89" s="28"/>
      <c r="N89" s="28"/>
      <c r="O89" s="118">
        <v>1.0</v>
      </c>
      <c r="P89" s="28"/>
      <c r="Q89" s="118" t="s">
        <v>23</v>
      </c>
      <c r="R89" s="118"/>
      <c r="S89" s="118" t="s">
        <v>23</v>
      </c>
      <c r="T89" s="118"/>
      <c r="U89" s="118" t="s">
        <v>23</v>
      </c>
    </row>
    <row r="90" hidden="1">
      <c r="A90" s="183" t="str">
        <f>HYPERLINK("https://docs.google.com/spreadsheets/d/1ERgQdXeAWbVo-QiaitRphUS1E5b1SngyK3FFWH-uwlc/edit?usp=sharing","Corinne Kaplan")</f>
        <v>Corinne Kaplan</v>
      </c>
      <c r="B90" s="118">
        <v>17.0</v>
      </c>
      <c r="C90" s="28"/>
      <c r="D90" s="118">
        <v>11.0</v>
      </c>
      <c r="E90" s="29"/>
      <c r="F90" s="29"/>
      <c r="G90" s="118">
        <v>33.0</v>
      </c>
      <c r="H90" s="118"/>
      <c r="I90" s="118" t="s">
        <v>9</v>
      </c>
      <c r="J90" s="118" t="s">
        <v>58</v>
      </c>
      <c r="K90" s="118" t="s">
        <v>66</v>
      </c>
      <c r="L90" s="118">
        <v>1.0</v>
      </c>
      <c r="M90" s="118">
        <v>1.0</v>
      </c>
      <c r="N90" s="28"/>
      <c r="O90" s="28"/>
      <c r="P90" s="28"/>
      <c r="Q90" s="118" t="s">
        <v>23</v>
      </c>
      <c r="R90" s="118"/>
      <c r="S90" s="118" t="s">
        <v>23</v>
      </c>
      <c r="T90" s="118"/>
      <c r="U90" s="118" t="s">
        <v>23</v>
      </c>
    </row>
    <row r="91" hidden="1">
      <c r="A91" s="183" t="str">
        <f>HYPERLINK("https://docs.google.com/spreadsheets/d/1ERgQdXeAWbVo-QiaitRphUS1E5b1SngyK3FFWH-uwlc/edit?usp=sharing","Crystal Cox")</f>
        <v>Crystal Cox</v>
      </c>
      <c r="B91" s="118">
        <v>17.0</v>
      </c>
      <c r="C91" s="28"/>
      <c r="D91" s="118">
        <v>12.0</v>
      </c>
      <c r="E91" s="29"/>
      <c r="F91" s="29"/>
      <c r="G91" s="118">
        <v>36.0</v>
      </c>
      <c r="H91" s="118"/>
      <c r="I91" s="118" t="s">
        <v>9</v>
      </c>
      <c r="J91" s="118" t="s">
        <v>46</v>
      </c>
      <c r="K91" s="118" t="s">
        <v>56</v>
      </c>
      <c r="L91" s="28"/>
      <c r="M91" s="28"/>
      <c r="N91" s="28"/>
      <c r="O91" s="118">
        <v>1.0</v>
      </c>
      <c r="P91" s="28"/>
      <c r="Q91" s="118" t="s">
        <v>23</v>
      </c>
      <c r="R91" s="118"/>
      <c r="S91" s="118" t="s">
        <v>23</v>
      </c>
      <c r="T91" s="118"/>
      <c r="U91" s="118" t="s">
        <v>23</v>
      </c>
    </row>
    <row r="92" hidden="1">
      <c r="A92" s="183" t="str">
        <f>HYPERLINK("https://docs.google.com/spreadsheets/d/1ERgQdXeAWbVo-QiaitRphUS1E5b1SngyK3FFWH-uwlc/edit?usp=sharing","Ken Hoang")</f>
        <v>Ken Hoang</v>
      </c>
      <c r="B92" s="118">
        <v>17.0</v>
      </c>
      <c r="C92" s="28"/>
      <c r="D92" s="118">
        <v>13.0</v>
      </c>
      <c r="E92" s="29"/>
      <c r="F92" s="29"/>
      <c r="G92" s="118">
        <v>37.0</v>
      </c>
      <c r="H92" s="118"/>
      <c r="I92" s="118" t="s">
        <v>9</v>
      </c>
      <c r="J92" s="118" t="s">
        <v>37</v>
      </c>
      <c r="K92" s="118" t="s">
        <v>70</v>
      </c>
      <c r="L92" s="28"/>
      <c r="M92" s="28"/>
      <c r="N92" s="28"/>
      <c r="O92" s="118">
        <v>1.0</v>
      </c>
      <c r="P92" s="28"/>
      <c r="Q92" s="118" t="s">
        <v>23</v>
      </c>
      <c r="R92" s="118"/>
      <c r="S92" s="118" t="s">
        <v>23</v>
      </c>
      <c r="T92" s="118"/>
      <c r="U92" s="118" t="s">
        <v>23</v>
      </c>
    </row>
    <row r="93" hidden="1">
      <c r="A93" s="183" t="str">
        <f>HYPERLINK("https://docs.google.com/spreadsheets/d/1ERgQdXeAWbVo-QiaitRphUS1E5b1SngyK3FFWH-uwlc/edit?usp=sharing","Matty Whitmore")</f>
        <v>Matty Whitmore</v>
      </c>
      <c r="B93" s="118">
        <v>17.0</v>
      </c>
      <c r="C93" s="28"/>
      <c r="D93" s="118">
        <v>13.0</v>
      </c>
      <c r="E93" s="29"/>
      <c r="F93" s="29"/>
      <c r="G93" s="118">
        <v>38.0</v>
      </c>
      <c r="H93" s="118"/>
      <c r="I93" s="118" t="s">
        <v>9</v>
      </c>
      <c r="J93" s="118" t="s">
        <v>24</v>
      </c>
      <c r="K93" s="118" t="s">
        <v>41</v>
      </c>
      <c r="L93" s="28"/>
      <c r="M93" s="28"/>
      <c r="N93" s="28"/>
      <c r="O93" s="118">
        <v>1.0</v>
      </c>
      <c r="P93" s="28"/>
      <c r="Q93" s="118" t="s">
        <v>23</v>
      </c>
      <c r="R93" s="118"/>
      <c r="S93" s="118">
        <v>1.0</v>
      </c>
      <c r="T93" s="118"/>
      <c r="U93" s="118" t="s">
        <v>23</v>
      </c>
    </row>
    <row r="94" hidden="1">
      <c r="A94" s="183" t="str">
        <f>HYPERLINK("https://docs.google.com/spreadsheets/d/1ERgQdXeAWbVo-QiaitRphUS1E5b1SngyK3FFWH-uwlc/edit?usp=sharing","Sugar Kiper")</f>
        <v>Sugar Kiper</v>
      </c>
      <c r="B94" s="118">
        <v>17.0</v>
      </c>
      <c r="C94" s="28"/>
      <c r="D94" s="118">
        <v>13.0</v>
      </c>
      <c r="E94" s="29"/>
      <c r="F94" s="29"/>
      <c r="G94" s="118">
        <v>39.0</v>
      </c>
      <c r="H94" s="118"/>
      <c r="I94" s="118" t="s">
        <v>9</v>
      </c>
      <c r="J94" s="118" t="s">
        <v>33</v>
      </c>
      <c r="K94" s="118" t="s">
        <v>34</v>
      </c>
      <c r="L94" s="118">
        <v>1.0</v>
      </c>
      <c r="M94" s="118">
        <v>1.0</v>
      </c>
      <c r="N94" s="28"/>
      <c r="O94" s="28"/>
      <c r="P94" s="28"/>
      <c r="Q94" s="118" t="s">
        <v>23</v>
      </c>
      <c r="R94" s="118"/>
      <c r="S94" s="118">
        <v>1.0</v>
      </c>
      <c r="T94" s="118"/>
      <c r="U94" s="118" t="s">
        <v>23</v>
      </c>
    </row>
    <row r="95" hidden="1">
      <c r="A95" s="183" t="str">
        <f>HYPERLINK("https://docs.google.com/spreadsheets/d/1ERgQdXeAWbVo-QiaitRphUS1E5b1SngyK3FFWH-uwlc/edit?usp=sharing","Susie Smith")</f>
        <v>Susie Smith</v>
      </c>
      <c r="B95" s="118">
        <v>17.0</v>
      </c>
      <c r="C95" s="28"/>
      <c r="D95" s="118">
        <v>13.0</v>
      </c>
      <c r="E95" s="29"/>
      <c r="F95" s="29"/>
      <c r="G95" s="118">
        <v>39.0</v>
      </c>
      <c r="H95" s="118"/>
      <c r="I95" s="118" t="s">
        <v>9</v>
      </c>
      <c r="J95" s="118" t="s">
        <v>31</v>
      </c>
      <c r="K95" s="118" t="s">
        <v>32</v>
      </c>
      <c r="L95" s="28"/>
      <c r="M95" s="28"/>
      <c r="N95" s="28"/>
      <c r="O95" s="118">
        <v>1.0</v>
      </c>
      <c r="P95" s="28"/>
      <c r="Q95" s="118" t="s">
        <v>23</v>
      </c>
      <c r="R95" s="118"/>
      <c r="S95" s="118" t="s">
        <v>23</v>
      </c>
      <c r="T95" s="118"/>
      <c r="U95" s="118" t="s">
        <v>23</v>
      </c>
    </row>
    <row r="96" hidden="1">
      <c r="A96" s="183" t="str">
        <f>HYPERLINK("https://docs.google.com/spreadsheets/d/1ERgQdXeAWbVo-QiaitRphUS1E5b1SngyK3FFWH-uwlc/edit?usp=sharing","Bob Crowley")</f>
        <v>Bob Crowley</v>
      </c>
      <c r="B96" s="118">
        <v>17.0</v>
      </c>
      <c r="C96" s="28"/>
      <c r="D96" s="118">
        <v>13.0</v>
      </c>
      <c r="E96" s="29"/>
      <c r="F96" s="29"/>
      <c r="G96" s="118">
        <v>39.0</v>
      </c>
      <c r="H96" s="118"/>
      <c r="I96" s="118" t="s">
        <v>9</v>
      </c>
      <c r="J96" s="118" t="s">
        <v>28</v>
      </c>
      <c r="K96" s="118" t="s">
        <v>29</v>
      </c>
      <c r="L96" s="118">
        <v>1.0</v>
      </c>
      <c r="M96" s="118">
        <v>1.0</v>
      </c>
      <c r="N96" s="28"/>
      <c r="O96" s="28"/>
      <c r="P96" s="28"/>
      <c r="Q96" s="118" t="s">
        <v>23</v>
      </c>
      <c r="R96" s="118"/>
      <c r="S96" s="118" t="s">
        <v>23</v>
      </c>
      <c r="T96" s="118"/>
      <c r="U96" s="118" t="s">
        <v>23</v>
      </c>
    </row>
    <row r="97" hidden="1">
      <c r="A97" s="183" t="str">
        <f>HYPERLINK("https://docs.google.com/spreadsheets/d/1PQNnyH-N_MPqR4ieImWElHVQioH8xTE5nrApMio0bGU/edit?usp=sharing","Carolina Eastwood")</f>
        <v>Carolina Eastwood</v>
      </c>
      <c r="B97" s="118">
        <v>18.0</v>
      </c>
      <c r="C97" s="28"/>
      <c r="D97" s="118">
        <v>1.0</v>
      </c>
      <c r="E97" s="29"/>
      <c r="F97" s="29"/>
      <c r="G97" s="118">
        <v>3.0</v>
      </c>
      <c r="H97" s="118"/>
      <c r="I97" s="118" t="s">
        <v>42</v>
      </c>
      <c r="J97" s="118" t="s">
        <v>60</v>
      </c>
      <c r="K97" s="118" t="s">
        <v>140</v>
      </c>
      <c r="L97" s="118" t="s">
        <v>23</v>
      </c>
      <c r="M97" s="118" t="s">
        <v>23</v>
      </c>
      <c r="N97" s="118" t="s">
        <v>23</v>
      </c>
      <c r="O97" s="118">
        <v>1.0</v>
      </c>
      <c r="P97" s="118" t="s">
        <v>23</v>
      </c>
      <c r="Q97" s="118" t="s">
        <v>23</v>
      </c>
      <c r="R97" s="118"/>
      <c r="S97" s="118" t="s">
        <v>23</v>
      </c>
      <c r="T97" s="118" t="s">
        <v>23</v>
      </c>
      <c r="U97" s="118" t="s">
        <v>23</v>
      </c>
    </row>
    <row r="98" hidden="1">
      <c r="A98" s="183" t="str">
        <f>HYPERLINK("https://docs.google.com/spreadsheets/d/1PQNnyH-N_MPqR4ieImWElHVQioH8xTE5nrApMio0bGU/edit?usp=sharing","Candace Smith")</f>
        <v>Candace Smith</v>
      </c>
      <c r="B98" s="118">
        <v>18.0</v>
      </c>
      <c r="C98" s="28"/>
      <c r="D98" s="118">
        <v>2.0</v>
      </c>
      <c r="E98" s="29"/>
      <c r="F98" s="29"/>
      <c r="G98" s="118">
        <v>6.0</v>
      </c>
      <c r="H98" s="118"/>
      <c r="I98" s="118" t="s">
        <v>42</v>
      </c>
      <c r="J98" s="118" t="s">
        <v>60</v>
      </c>
      <c r="K98" s="118" t="s">
        <v>139</v>
      </c>
      <c r="L98" s="118">
        <v>1.0</v>
      </c>
      <c r="M98" s="118">
        <v>1.0</v>
      </c>
      <c r="N98" s="28"/>
      <c r="O98" s="28"/>
      <c r="P98" s="28"/>
      <c r="Q98" s="118" t="s">
        <v>23</v>
      </c>
      <c r="R98" s="118"/>
      <c r="S98" s="118" t="s">
        <v>23</v>
      </c>
      <c r="T98" s="118"/>
      <c r="U98" s="118" t="s">
        <v>23</v>
      </c>
    </row>
    <row r="99" hidden="1">
      <c r="A99" s="183" t="str">
        <f>HYPERLINK("https://docs.google.com/spreadsheets/d/1PQNnyH-N_MPqR4ieImWElHVQioH8xTE5nrApMio0bGU/edit?usp=sharing","Jerry Sims")</f>
        <v>Jerry Sims</v>
      </c>
      <c r="B99" s="118">
        <v>18.0</v>
      </c>
      <c r="C99" s="28"/>
      <c r="D99" s="118">
        <v>3.0</v>
      </c>
      <c r="E99" s="29"/>
      <c r="F99" s="29"/>
      <c r="G99" s="118">
        <v>9.0</v>
      </c>
      <c r="H99" s="118"/>
      <c r="I99" s="118" t="s">
        <v>42</v>
      </c>
      <c r="J99" s="118" t="s">
        <v>60</v>
      </c>
      <c r="K99" s="118" t="s">
        <v>137</v>
      </c>
      <c r="L99" s="118">
        <v>1.0</v>
      </c>
      <c r="M99" s="118">
        <v>1.0</v>
      </c>
      <c r="N99" s="28"/>
      <c r="O99" s="28"/>
      <c r="P99" s="28"/>
      <c r="Q99" s="118" t="s">
        <v>23</v>
      </c>
      <c r="R99" s="118"/>
      <c r="S99" s="118" t="s">
        <v>23</v>
      </c>
      <c r="T99" s="118"/>
      <c r="U99" s="118" t="s">
        <v>23</v>
      </c>
    </row>
    <row r="100" hidden="1">
      <c r="A100" s="183" t="str">
        <f>HYPERLINK("https://docs.google.com/spreadsheets/d/1PQNnyH-N_MPqR4ieImWElHVQioH8xTE5nrApMio0bGU/edit?usp=sharing","Sandy Burgin")</f>
        <v>Sandy Burgin</v>
      </c>
      <c r="B100" s="118">
        <v>18.0</v>
      </c>
      <c r="C100" s="28"/>
      <c r="D100" s="118">
        <v>4.0</v>
      </c>
      <c r="E100" s="29"/>
      <c r="F100" s="29"/>
      <c r="G100" s="118">
        <v>12.0</v>
      </c>
      <c r="H100" s="118"/>
      <c r="I100" s="118" t="s">
        <v>42</v>
      </c>
      <c r="J100" s="118" t="s">
        <v>60</v>
      </c>
      <c r="K100" s="118" t="s">
        <v>107</v>
      </c>
      <c r="L100" s="28"/>
      <c r="M100" s="28"/>
      <c r="N100" s="28"/>
      <c r="O100" s="118">
        <v>1.0</v>
      </c>
      <c r="P100" s="28"/>
      <c r="Q100" s="118" t="s">
        <v>23</v>
      </c>
      <c r="R100" s="118"/>
      <c r="S100" s="118" t="s">
        <v>23</v>
      </c>
      <c r="T100" s="118"/>
      <c r="U100" s="118" t="s">
        <v>23</v>
      </c>
    </row>
    <row r="101" hidden="1">
      <c r="A101" s="183" t="str">
        <f>HYPERLINK("https://docs.google.com/spreadsheets/d/1PQNnyH-N_MPqR4ieImWElHVQioH8xTE5nrApMio0bGU/edit?usp=sharing","Spencer Duhm")</f>
        <v>Spencer Duhm</v>
      </c>
      <c r="B101" s="118">
        <v>18.0</v>
      </c>
      <c r="C101" s="28"/>
      <c r="D101" s="118">
        <v>5.0</v>
      </c>
      <c r="E101" s="29"/>
      <c r="F101" s="29"/>
      <c r="G101" s="118">
        <v>15.0</v>
      </c>
      <c r="H101" s="118"/>
      <c r="I101" s="118" t="s">
        <v>42</v>
      </c>
      <c r="J101" s="118" t="s">
        <v>60</v>
      </c>
      <c r="K101" s="118" t="s">
        <v>106</v>
      </c>
      <c r="L101" s="28"/>
      <c r="M101" s="28"/>
      <c r="N101" s="28"/>
      <c r="O101" s="118">
        <v>1.0</v>
      </c>
      <c r="P101" s="28"/>
      <c r="Q101" s="118" t="s">
        <v>23</v>
      </c>
      <c r="R101" s="118"/>
      <c r="S101" s="118" t="s">
        <v>23</v>
      </c>
      <c r="T101" s="118"/>
      <c r="U101" s="118" t="s">
        <v>23</v>
      </c>
    </row>
    <row r="102" hidden="1">
      <c r="A102" s="183" t="str">
        <f>HYPERLINK("https://docs.google.com/spreadsheets/d/1PQNnyH-N_MPqR4ieImWElHVQioH8xTE5nrApMio0bGU/edit?usp=sharing","Sydney Wheeler")</f>
        <v>Sydney Wheeler</v>
      </c>
      <c r="B102" s="118">
        <v>18.0</v>
      </c>
      <c r="C102" s="28"/>
      <c r="D102" s="118">
        <v>6.0</v>
      </c>
      <c r="E102" s="29"/>
      <c r="F102" s="29"/>
      <c r="G102" s="118">
        <v>18.0</v>
      </c>
      <c r="H102" s="118"/>
      <c r="I102" s="118" t="s">
        <v>42</v>
      </c>
      <c r="J102" s="118" t="s">
        <v>60</v>
      </c>
      <c r="K102" s="118" t="s">
        <v>78</v>
      </c>
      <c r="L102" s="28"/>
      <c r="M102" s="28"/>
      <c r="N102" s="28"/>
      <c r="O102" s="118">
        <v>1.0</v>
      </c>
      <c r="P102" s="28"/>
      <c r="Q102" s="118" t="s">
        <v>23</v>
      </c>
      <c r="R102" s="118"/>
      <c r="S102" s="118" t="s">
        <v>23</v>
      </c>
      <c r="T102" s="118"/>
      <c r="U102" s="118" t="s">
        <v>23</v>
      </c>
    </row>
    <row r="103" hidden="1">
      <c r="A103" s="183" t="str">
        <f>HYPERLINK("https://docs.google.com/spreadsheets/d/1PQNnyH-N_MPqR4ieImWElHVQioH8xTE5nrApMio0bGU/edit?usp=sharing","Joe Dowdle")</f>
        <v>Joe Dowdle</v>
      </c>
      <c r="B103" s="118">
        <v>18.0</v>
      </c>
      <c r="C103" s="28"/>
      <c r="D103" s="118">
        <v>7.0</v>
      </c>
      <c r="E103" s="29"/>
      <c r="F103" s="29"/>
      <c r="G103" s="118">
        <v>20.0</v>
      </c>
      <c r="H103" s="118"/>
      <c r="I103" s="118" t="s">
        <v>9</v>
      </c>
      <c r="J103" s="118" t="s">
        <v>60</v>
      </c>
      <c r="K103" s="118" t="s">
        <v>61</v>
      </c>
      <c r="L103" s="28"/>
      <c r="M103" s="28"/>
      <c r="N103" s="28"/>
      <c r="O103" s="118">
        <v>1.0</v>
      </c>
      <c r="P103" s="28"/>
      <c r="Q103" s="118" t="s">
        <v>23</v>
      </c>
      <c r="R103" s="118"/>
      <c r="S103" s="118" t="s">
        <v>23</v>
      </c>
      <c r="T103" s="118"/>
      <c r="U103" s="118" t="s">
        <v>92</v>
      </c>
    </row>
    <row r="104" hidden="1">
      <c r="A104" s="183" t="str">
        <f>HYPERLINK("https://docs.google.com/spreadsheets/d/1PQNnyH-N_MPqR4ieImWElHVQioH8xTE5nrApMio0bGU/edit?usp=sharing","Brendan Synnott")</f>
        <v>Brendan Synnott</v>
      </c>
      <c r="B104" s="118">
        <v>18.0</v>
      </c>
      <c r="C104" s="28"/>
      <c r="D104" s="118">
        <v>8.0</v>
      </c>
      <c r="E104" s="29"/>
      <c r="F104" s="29"/>
      <c r="G104" s="118">
        <v>24.0</v>
      </c>
      <c r="H104" s="118"/>
      <c r="I104" s="118" t="s">
        <v>9</v>
      </c>
      <c r="J104" s="118" t="s">
        <v>84</v>
      </c>
      <c r="K104" s="118" t="s">
        <v>87</v>
      </c>
      <c r="L104" s="118">
        <v>1.0</v>
      </c>
      <c r="M104" s="118">
        <v>1.0</v>
      </c>
      <c r="N104" s="28"/>
      <c r="O104" s="28"/>
      <c r="P104" s="28"/>
      <c r="Q104" s="118" t="s">
        <v>23</v>
      </c>
      <c r="R104" s="118"/>
      <c r="S104" s="118">
        <v>1.0</v>
      </c>
      <c r="T104" s="118"/>
      <c r="U104" s="118" t="s">
        <v>23</v>
      </c>
    </row>
    <row r="105" hidden="1">
      <c r="A105" s="183" t="str">
        <f>HYPERLINK("https://docs.google.com/spreadsheets/d/1PQNnyH-N_MPqR4ieImWElHVQioH8xTE5nrApMio0bGU/edit?usp=sharing","Tyson Apostol")</f>
        <v>Tyson Apostol</v>
      </c>
      <c r="B105" s="118">
        <v>18.0</v>
      </c>
      <c r="C105" s="28"/>
      <c r="D105" s="118">
        <v>9.0</v>
      </c>
      <c r="E105" s="29"/>
      <c r="F105" s="29"/>
      <c r="G105" s="118">
        <v>27.0</v>
      </c>
      <c r="H105" s="118"/>
      <c r="I105" s="118" t="s">
        <v>9</v>
      </c>
      <c r="J105" s="118" t="s">
        <v>48</v>
      </c>
      <c r="K105" s="118" t="s">
        <v>49</v>
      </c>
      <c r="L105" s="118">
        <v>1.0</v>
      </c>
      <c r="M105" s="118">
        <v>1.0</v>
      </c>
      <c r="N105" s="28"/>
      <c r="O105" s="28"/>
      <c r="P105" s="28"/>
      <c r="Q105" s="118" t="s">
        <v>23</v>
      </c>
      <c r="R105" s="118"/>
      <c r="S105" s="118" t="s">
        <v>23</v>
      </c>
      <c r="T105" s="118"/>
      <c r="U105" s="118" t="s">
        <v>23</v>
      </c>
    </row>
    <row r="106" hidden="1">
      <c r="A106" s="183" t="str">
        <f>HYPERLINK("https://docs.google.com/spreadsheets/d/1PQNnyH-N_MPqR4ieImWElHVQioH8xTE5nrApMio0bGU/edit?usp=sharing","Sierra Reed")</f>
        <v>Sierra Reed</v>
      </c>
      <c r="B106" s="118">
        <v>18.0</v>
      </c>
      <c r="C106" s="28"/>
      <c r="D106" s="118">
        <v>10.0</v>
      </c>
      <c r="E106" s="29"/>
      <c r="F106" s="29"/>
      <c r="G106" s="118">
        <v>30.0</v>
      </c>
      <c r="H106" s="118"/>
      <c r="I106" s="118" t="s">
        <v>9</v>
      </c>
      <c r="J106" s="118" t="s">
        <v>43</v>
      </c>
      <c r="K106" s="118" t="s">
        <v>57</v>
      </c>
      <c r="L106" s="118">
        <v>1.0</v>
      </c>
      <c r="M106" s="118">
        <v>1.0</v>
      </c>
      <c r="N106" s="28"/>
      <c r="O106" s="28"/>
      <c r="P106" s="28"/>
      <c r="Q106" s="118" t="s">
        <v>23</v>
      </c>
      <c r="R106" s="118"/>
      <c r="S106" s="118" t="s">
        <v>23</v>
      </c>
      <c r="T106" s="118"/>
      <c r="U106" s="118" t="s">
        <v>23</v>
      </c>
    </row>
    <row r="107" hidden="1">
      <c r="A107" s="183" t="str">
        <f>HYPERLINK("https://docs.google.com/spreadsheets/d/1PQNnyH-N_MPqR4ieImWElHVQioH8xTE5nrApMio0bGU/edit?usp=sharing","Debbie Beebe")</f>
        <v>Debbie Beebe</v>
      </c>
      <c r="B107" s="118">
        <v>18.0</v>
      </c>
      <c r="C107" s="28"/>
      <c r="D107" s="118">
        <v>11.0</v>
      </c>
      <c r="E107" s="29"/>
      <c r="F107" s="29"/>
      <c r="G107" s="118">
        <v>33.0</v>
      </c>
      <c r="H107" s="118"/>
      <c r="I107" s="118" t="s">
        <v>9</v>
      </c>
      <c r="J107" s="118" t="s">
        <v>58</v>
      </c>
      <c r="K107" s="118" t="s">
        <v>59</v>
      </c>
      <c r="L107" s="118">
        <v>1.0</v>
      </c>
      <c r="M107" s="118">
        <v>1.0</v>
      </c>
      <c r="N107" s="28"/>
      <c r="O107" s="28"/>
      <c r="P107" s="28"/>
      <c r="Q107" s="118" t="s">
        <v>23</v>
      </c>
      <c r="R107" s="118"/>
      <c r="S107" s="118" t="s">
        <v>23</v>
      </c>
      <c r="T107" s="118"/>
      <c r="U107" s="118" t="s">
        <v>23</v>
      </c>
    </row>
    <row r="108" hidden="1">
      <c r="A108" s="183" t="str">
        <f>HYPERLINK("https://docs.google.com/spreadsheets/d/1PQNnyH-N_MPqR4ieImWElHVQioH8xTE5nrApMio0bGU/edit?usp=sharing","Benjamin ""Coach"" Wade")</f>
        <v>Benjamin "Coach" Wade</v>
      </c>
      <c r="B108" s="118">
        <v>18.0</v>
      </c>
      <c r="C108" s="28"/>
      <c r="D108" s="118">
        <v>12.0</v>
      </c>
      <c r="E108" s="29"/>
      <c r="F108" s="29"/>
      <c r="G108" s="118">
        <v>36.0</v>
      </c>
      <c r="H108" s="118"/>
      <c r="I108" s="118" t="s">
        <v>9</v>
      </c>
      <c r="J108" s="118" t="s">
        <v>46</v>
      </c>
      <c r="K108" s="118" t="s">
        <v>52</v>
      </c>
      <c r="L108" s="118">
        <v>1.0</v>
      </c>
      <c r="M108" s="118">
        <v>1.0</v>
      </c>
      <c r="N108" s="28"/>
      <c r="O108" s="28"/>
      <c r="P108" s="28"/>
      <c r="Q108" s="118" t="s">
        <v>23</v>
      </c>
      <c r="R108" s="118"/>
      <c r="S108" s="118" t="s">
        <v>23</v>
      </c>
      <c r="T108" s="118"/>
      <c r="U108" s="118" t="s">
        <v>23</v>
      </c>
    </row>
    <row r="109" hidden="1">
      <c r="A109" s="183" t="str">
        <f>HYPERLINK("https://docs.google.com/spreadsheets/d/1PQNnyH-N_MPqR4ieImWElHVQioH8xTE5nrApMio0bGU/edit?usp=sharing","Taj Johnson-George")</f>
        <v>Taj Johnson-George</v>
      </c>
      <c r="B109" s="118">
        <v>18.0</v>
      </c>
      <c r="C109" s="28"/>
      <c r="D109" s="118">
        <v>13.0</v>
      </c>
      <c r="E109" s="29"/>
      <c r="F109" s="29"/>
      <c r="G109" s="118">
        <v>37.0</v>
      </c>
      <c r="H109" s="118"/>
      <c r="I109" s="118" t="s">
        <v>9</v>
      </c>
      <c r="J109" s="118" t="s">
        <v>37</v>
      </c>
      <c r="K109" s="118" t="s">
        <v>38</v>
      </c>
      <c r="L109" s="28"/>
      <c r="M109" s="28"/>
      <c r="N109" s="28"/>
      <c r="O109" s="118">
        <v>1.0</v>
      </c>
      <c r="P109" s="28"/>
      <c r="Q109" s="118" t="s">
        <v>23</v>
      </c>
      <c r="R109" s="118"/>
      <c r="S109" s="118" t="s">
        <v>23</v>
      </c>
      <c r="T109" s="118"/>
      <c r="U109" s="118" t="s">
        <v>23</v>
      </c>
    </row>
    <row r="110" hidden="1">
      <c r="A110" s="183" t="str">
        <f>HYPERLINK("https://docs.google.com/spreadsheets/d/1PQNnyH-N_MPqR4ieImWElHVQioH8xTE5nrApMio0bGU/edit?usp=sharing","Erin Lobdell")</f>
        <v>Erin Lobdell</v>
      </c>
      <c r="B110" s="118">
        <v>18.0</v>
      </c>
      <c r="C110" s="28"/>
      <c r="D110" s="118">
        <v>13.0</v>
      </c>
      <c r="E110" s="29"/>
      <c r="F110" s="29"/>
      <c r="G110" s="118">
        <v>38.0</v>
      </c>
      <c r="H110" s="118"/>
      <c r="I110" s="118" t="s">
        <v>9</v>
      </c>
      <c r="J110" s="118" t="s">
        <v>24</v>
      </c>
      <c r="K110" s="118" t="s">
        <v>25</v>
      </c>
      <c r="L110" s="118">
        <v>1.0</v>
      </c>
      <c r="M110" s="118">
        <v>1.0</v>
      </c>
      <c r="N110" s="28"/>
      <c r="O110" s="28"/>
      <c r="P110" s="28"/>
      <c r="Q110" s="118" t="s">
        <v>23</v>
      </c>
      <c r="R110" s="118"/>
      <c r="S110" s="118" t="s">
        <v>23</v>
      </c>
      <c r="T110" s="118"/>
      <c r="U110" s="118" t="s">
        <v>23</v>
      </c>
    </row>
    <row r="111" hidden="1">
      <c r="A111" s="183" t="str">
        <f>HYPERLINK("https://docs.google.com/spreadsheets/d/1PQNnyH-N_MPqR4ieImWElHVQioH8xTE5nrApMio0bGU/edit?usp=sharing","Stephen Fishbach")</f>
        <v>Stephen Fishbach</v>
      </c>
      <c r="B111" s="118">
        <v>18.0</v>
      </c>
      <c r="C111" s="28"/>
      <c r="D111" s="118">
        <v>13.0</v>
      </c>
      <c r="E111" s="29"/>
      <c r="F111" s="29"/>
      <c r="G111" s="118">
        <v>39.0</v>
      </c>
      <c r="H111" s="118"/>
      <c r="I111" s="118" t="s">
        <v>9</v>
      </c>
      <c r="J111" s="118" t="s">
        <v>26</v>
      </c>
      <c r="K111" s="118" t="s">
        <v>27</v>
      </c>
      <c r="L111" s="28"/>
      <c r="M111" s="28"/>
      <c r="N111" s="28"/>
      <c r="O111" s="118">
        <v>1.0</v>
      </c>
      <c r="P111" s="28"/>
      <c r="Q111" s="118" t="s">
        <v>23</v>
      </c>
      <c r="R111" s="118"/>
      <c r="S111" s="118">
        <v>1.0</v>
      </c>
      <c r="T111" s="118"/>
      <c r="U111" s="118" t="s">
        <v>23</v>
      </c>
    </row>
    <row r="112" hidden="1">
      <c r="A112" s="183" t="str">
        <f>HYPERLINK("https://docs.google.com/spreadsheets/d/1PQNnyH-N_MPqR4ieImWElHVQioH8xTE5nrApMio0bGU/edit?usp=sharing","J.T. Thomas")</f>
        <v>J.T. Thomas</v>
      </c>
      <c r="B112" s="118">
        <v>18.0</v>
      </c>
      <c r="C112" s="28"/>
      <c r="D112" s="118">
        <v>13.0</v>
      </c>
      <c r="E112" s="29"/>
      <c r="F112" s="29"/>
      <c r="G112" s="118">
        <v>39.0</v>
      </c>
      <c r="H112" s="118"/>
      <c r="I112" s="118" t="s">
        <v>9</v>
      </c>
      <c r="J112" s="118" t="s">
        <v>28</v>
      </c>
      <c r="K112" s="118" t="s">
        <v>30</v>
      </c>
      <c r="L112" s="28"/>
      <c r="M112" s="28"/>
      <c r="N112" s="28"/>
      <c r="O112" s="118">
        <v>1.0</v>
      </c>
      <c r="P112" s="28"/>
      <c r="Q112" s="118" t="s">
        <v>23</v>
      </c>
      <c r="R112" s="118"/>
      <c r="S112" s="118" t="s">
        <v>23</v>
      </c>
      <c r="T112" s="118"/>
      <c r="U112" s="118" t="s">
        <v>23</v>
      </c>
    </row>
    <row r="113" hidden="1">
      <c r="A113" s="183" t="str">
        <f>HYPERLINK("https://docs.google.com/spreadsheets/d/1ErNiiU5X-RH2sqOJEUpe74HRzMxT2715FFrDX7EPUQw/edit?usp=sharing","Marisa Calihan")</f>
        <v>Marisa Calihan</v>
      </c>
      <c r="B113" s="118">
        <v>19.0</v>
      </c>
      <c r="C113" s="28"/>
      <c r="D113" s="118">
        <v>1.0</v>
      </c>
      <c r="E113" s="29"/>
      <c r="F113" s="29"/>
      <c r="G113" s="118">
        <v>3.0</v>
      </c>
      <c r="H113" s="118"/>
      <c r="I113" s="118" t="s">
        <v>42</v>
      </c>
      <c r="J113" s="118" t="s">
        <v>60</v>
      </c>
      <c r="K113" s="118" t="s">
        <v>110</v>
      </c>
      <c r="L113" s="118">
        <v>1.0</v>
      </c>
      <c r="M113" s="118" t="s">
        <v>23</v>
      </c>
      <c r="N113" s="118" t="s">
        <v>23</v>
      </c>
      <c r="O113" s="118">
        <v>1.0</v>
      </c>
      <c r="P113" s="118" t="s">
        <v>23</v>
      </c>
      <c r="Q113" s="118" t="s">
        <v>23</v>
      </c>
      <c r="R113" s="118"/>
      <c r="S113" s="118" t="s">
        <v>23</v>
      </c>
      <c r="T113" s="118" t="s">
        <v>23</v>
      </c>
      <c r="U113" s="118" t="s">
        <v>23</v>
      </c>
    </row>
    <row r="114" hidden="1">
      <c r="A114" s="183" t="str">
        <f>HYPERLINK("https://docs.google.com/spreadsheets/d/1ErNiiU5X-RH2sqOJEUpe74HRzMxT2715FFrDX7EPUQw/edit?usp=sharing","Mike Borassi")</f>
        <v>Mike Borassi</v>
      </c>
      <c r="B114" s="118">
        <v>19.0</v>
      </c>
      <c r="C114" s="28"/>
      <c r="D114" s="118">
        <v>2.0</v>
      </c>
      <c r="E114" s="29"/>
      <c r="F114" s="29"/>
      <c r="G114" s="118">
        <v>5.0</v>
      </c>
      <c r="H114" s="118"/>
      <c r="I114" s="118" t="s">
        <v>42</v>
      </c>
      <c r="J114" s="118" t="s">
        <v>60</v>
      </c>
      <c r="K114" s="118" t="s">
        <v>131</v>
      </c>
      <c r="L114" s="118">
        <v>1.0</v>
      </c>
      <c r="M114" s="28"/>
      <c r="N114" s="28"/>
      <c r="O114" s="118">
        <v>1.0</v>
      </c>
      <c r="P114" s="118" t="s">
        <v>23</v>
      </c>
      <c r="Q114" s="118" t="s">
        <v>23</v>
      </c>
      <c r="R114" s="118"/>
      <c r="S114" s="118" t="s">
        <v>23</v>
      </c>
      <c r="T114" s="118"/>
      <c r="U114" s="118" t="s">
        <v>92</v>
      </c>
    </row>
    <row r="115" hidden="1">
      <c r="A115" s="183" t="str">
        <f>HYPERLINK("https://docs.google.com/spreadsheets/d/1ErNiiU5X-RH2sqOJEUpe74HRzMxT2715FFrDX7EPUQw/edit?usp=sharing","Betsy Bolan")</f>
        <v>Betsy Bolan</v>
      </c>
      <c r="B115" s="118">
        <v>19.0</v>
      </c>
      <c r="C115" s="28"/>
      <c r="D115" s="118">
        <v>2.0</v>
      </c>
      <c r="E115" s="29"/>
      <c r="F115" s="29"/>
      <c r="G115" s="118">
        <v>6.0</v>
      </c>
      <c r="H115" s="118"/>
      <c r="I115" s="118" t="s">
        <v>42</v>
      </c>
      <c r="J115" s="118" t="s">
        <v>60</v>
      </c>
      <c r="K115" s="118" t="s">
        <v>124</v>
      </c>
      <c r="L115" s="118">
        <v>1.0</v>
      </c>
      <c r="M115" s="28"/>
      <c r="N115" s="28"/>
      <c r="O115" s="118">
        <v>1.0</v>
      </c>
      <c r="P115" s="118" t="s">
        <v>23</v>
      </c>
      <c r="Q115" s="118" t="s">
        <v>23</v>
      </c>
      <c r="R115" s="118"/>
      <c r="S115" s="118" t="s">
        <v>23</v>
      </c>
      <c r="T115" s="118"/>
      <c r="U115" s="118" t="s">
        <v>23</v>
      </c>
    </row>
    <row r="116" hidden="1">
      <c r="A116" s="183" t="str">
        <f>HYPERLINK("https://docs.google.com/spreadsheets/d/1ErNiiU5X-RH2sqOJEUpe74HRzMxT2715FFrDX7EPUQw/edit?usp=sharing","Ben Browning")</f>
        <v>Ben Browning</v>
      </c>
      <c r="B116" s="118">
        <v>19.0</v>
      </c>
      <c r="C116" s="28"/>
      <c r="D116" s="118">
        <v>3.0</v>
      </c>
      <c r="E116" s="29"/>
      <c r="F116" s="29"/>
      <c r="G116" s="118">
        <v>8.0</v>
      </c>
      <c r="H116" s="118"/>
      <c r="I116" s="118" t="s">
        <v>42</v>
      </c>
      <c r="J116" s="118" t="s">
        <v>60</v>
      </c>
      <c r="K116" s="118" t="s">
        <v>96</v>
      </c>
      <c r="L116" s="118">
        <v>1.0</v>
      </c>
      <c r="M116" s="28"/>
      <c r="N116" s="28"/>
      <c r="O116" s="118">
        <v>1.0</v>
      </c>
      <c r="P116" s="118" t="s">
        <v>23</v>
      </c>
      <c r="Q116" s="118" t="s">
        <v>23</v>
      </c>
      <c r="R116" s="118"/>
      <c r="S116" s="118" t="s">
        <v>23</v>
      </c>
      <c r="T116" s="118"/>
      <c r="U116" s="118" t="s">
        <v>23</v>
      </c>
    </row>
    <row r="117" hidden="1">
      <c r="A117" s="183" t="str">
        <f>HYPERLINK("https://docs.google.com/spreadsheets/d/1ErNiiU5X-RH2sqOJEUpe74HRzMxT2715FFrDX7EPUQw/edit?usp=sharing","Yasmin Giles")</f>
        <v>Yasmin Giles</v>
      </c>
      <c r="B117" s="118">
        <v>19.0</v>
      </c>
      <c r="C117" s="28"/>
      <c r="D117" s="118">
        <v>4.0</v>
      </c>
      <c r="E117" s="29"/>
      <c r="F117" s="29"/>
      <c r="G117" s="118">
        <v>11.0</v>
      </c>
      <c r="H117" s="118"/>
      <c r="I117" s="118" t="s">
        <v>42</v>
      </c>
      <c r="J117" s="118" t="s">
        <v>60</v>
      </c>
      <c r="K117" s="118" t="s">
        <v>103</v>
      </c>
      <c r="L117" s="28"/>
      <c r="M117" s="118">
        <v>1.0</v>
      </c>
      <c r="N117" s="28"/>
      <c r="O117" s="28"/>
      <c r="P117" s="118" t="s">
        <v>23</v>
      </c>
      <c r="Q117" s="118" t="s">
        <v>23</v>
      </c>
      <c r="R117" s="118"/>
      <c r="S117" s="118" t="s">
        <v>23</v>
      </c>
      <c r="T117" s="118"/>
      <c r="U117" s="118" t="s">
        <v>23</v>
      </c>
    </row>
    <row r="118" hidden="1">
      <c r="A118" s="183" t="str">
        <f>HYPERLINK("https://docs.google.com/spreadsheets/d/1ErNiiU5X-RH2sqOJEUpe74HRzMxT2715FFrDX7EPUQw/edit?usp=sharing","Ashley Trainer")</f>
        <v>Ashley Trainer</v>
      </c>
      <c r="B118" s="118">
        <v>19.0</v>
      </c>
      <c r="C118" s="28"/>
      <c r="D118" s="118">
        <v>5.0</v>
      </c>
      <c r="E118" s="29"/>
      <c r="F118" s="29"/>
      <c r="G118" s="118">
        <v>14.0</v>
      </c>
      <c r="H118" s="118"/>
      <c r="I118" s="118" t="s">
        <v>42</v>
      </c>
      <c r="J118" s="118" t="s">
        <v>60</v>
      </c>
      <c r="K118" s="118" t="s">
        <v>112</v>
      </c>
      <c r="L118" s="118">
        <v>1.0</v>
      </c>
      <c r="M118" s="28"/>
      <c r="N118" s="28"/>
      <c r="O118" s="118">
        <v>1.0</v>
      </c>
      <c r="P118" s="118" t="s">
        <v>23</v>
      </c>
      <c r="Q118" s="118" t="s">
        <v>23</v>
      </c>
      <c r="R118" s="118"/>
      <c r="S118" s="118" t="s">
        <v>23</v>
      </c>
      <c r="T118" s="118"/>
      <c r="U118" s="118" t="s">
        <v>23</v>
      </c>
    </row>
    <row r="119" hidden="1">
      <c r="A119" s="183" t="str">
        <f>HYPERLINK("https://docs.google.com/spreadsheets/d/1ErNiiU5X-RH2sqOJEUpe74HRzMxT2715FFrDX7EPUQw/edit?usp=sharing","Russell Swan")</f>
        <v>Russell Swan</v>
      </c>
      <c r="B119" s="118">
        <v>19.0</v>
      </c>
      <c r="C119" s="28"/>
      <c r="D119" s="118">
        <v>6.0</v>
      </c>
      <c r="E119" s="29"/>
      <c r="F119" s="29"/>
      <c r="G119" s="118">
        <v>15.0</v>
      </c>
      <c r="H119" s="118"/>
      <c r="I119" s="118" t="s">
        <v>42</v>
      </c>
      <c r="J119" s="118" t="s">
        <v>60</v>
      </c>
      <c r="K119" s="118" t="s">
        <v>111</v>
      </c>
      <c r="L119" s="28"/>
      <c r="M119" s="118">
        <v>1.0</v>
      </c>
      <c r="N119" s="28"/>
      <c r="O119" s="28"/>
      <c r="P119" s="118" t="s">
        <v>23</v>
      </c>
      <c r="Q119" s="118" t="s">
        <v>23</v>
      </c>
      <c r="R119" s="118"/>
      <c r="S119" s="118" t="s">
        <v>23</v>
      </c>
      <c r="T119" s="118"/>
      <c r="U119" s="118" t="s">
        <v>92</v>
      </c>
    </row>
    <row r="120" hidden="1">
      <c r="A120" s="183" t="str">
        <f>HYPERLINK("https://docs.google.com/spreadsheets/d/1ErNiiU5X-RH2sqOJEUpe74HRzMxT2715FFrDX7EPUQw/edit?usp=sharing","Liz Kim")</f>
        <v>Liz Kim</v>
      </c>
      <c r="B120" s="118">
        <v>19.0</v>
      </c>
      <c r="C120" s="28"/>
      <c r="D120" s="118">
        <v>7.0</v>
      </c>
      <c r="E120" s="29"/>
      <c r="F120" s="29"/>
      <c r="G120" s="118">
        <v>18.0</v>
      </c>
      <c r="H120" s="118"/>
      <c r="I120" s="118" t="s">
        <v>42</v>
      </c>
      <c r="J120" s="118" t="s">
        <v>60</v>
      </c>
      <c r="K120" s="118" t="s">
        <v>100</v>
      </c>
      <c r="L120" s="118">
        <v>1.0</v>
      </c>
      <c r="M120" s="28"/>
      <c r="N120" s="28"/>
      <c r="O120" s="118">
        <v>1.0</v>
      </c>
      <c r="P120" s="118" t="s">
        <v>23</v>
      </c>
      <c r="Q120" s="118" t="s">
        <v>23</v>
      </c>
      <c r="R120" s="118"/>
      <c r="S120" s="118" t="s">
        <v>23</v>
      </c>
      <c r="T120" s="118"/>
      <c r="U120" s="118" t="s">
        <v>23</v>
      </c>
    </row>
    <row r="121" hidden="1">
      <c r="A121" s="183" t="str">
        <f>HYPERLINK("https://docs.google.com/spreadsheets/d/1ErNiiU5X-RH2sqOJEUpe74HRzMxT2715FFrDX7EPUQw/edit?usp=sharing","Erik Cardona")</f>
        <v>Erik Cardona</v>
      </c>
      <c r="B121" s="118">
        <v>19.0</v>
      </c>
      <c r="C121" s="28"/>
      <c r="D121" s="118">
        <v>8.0</v>
      </c>
      <c r="E121" s="29"/>
      <c r="F121" s="29"/>
      <c r="G121" s="118">
        <v>21.0</v>
      </c>
      <c r="H121" s="118"/>
      <c r="I121" s="118" t="s">
        <v>9</v>
      </c>
      <c r="J121" s="118" t="s">
        <v>84</v>
      </c>
      <c r="K121" s="118" t="s">
        <v>82</v>
      </c>
      <c r="L121" s="28"/>
      <c r="M121" s="118">
        <v>1.0</v>
      </c>
      <c r="N121" s="28"/>
      <c r="O121" s="28"/>
      <c r="P121" s="118" t="s">
        <v>23</v>
      </c>
      <c r="Q121" s="118" t="s">
        <v>23</v>
      </c>
      <c r="R121" s="118"/>
      <c r="S121" s="118">
        <v>1.0</v>
      </c>
      <c r="T121" s="118"/>
      <c r="U121" s="118" t="s">
        <v>23</v>
      </c>
    </row>
    <row r="122" hidden="1">
      <c r="A122" s="183" t="str">
        <f>HYPERLINK("https://docs.google.com/spreadsheets/d/1ErNiiU5X-RH2sqOJEUpe74HRzMxT2715FFrDX7EPUQw/edit?usp=sharing","Kelly Sharbaugh")</f>
        <v>Kelly Sharbaugh</v>
      </c>
      <c r="B122" s="118">
        <v>19.0</v>
      </c>
      <c r="C122" s="28"/>
      <c r="D122" s="118">
        <v>9.0</v>
      </c>
      <c r="E122" s="29"/>
      <c r="F122" s="29"/>
      <c r="G122" s="118">
        <v>24.0</v>
      </c>
      <c r="H122" s="118"/>
      <c r="I122" s="118" t="s">
        <v>9</v>
      </c>
      <c r="J122" s="118" t="s">
        <v>48</v>
      </c>
      <c r="K122" s="118" t="s">
        <v>69</v>
      </c>
      <c r="L122" s="28"/>
      <c r="M122" s="118">
        <v>1.0</v>
      </c>
      <c r="N122" s="28"/>
      <c r="O122" s="28"/>
      <c r="P122" s="118" t="s">
        <v>23</v>
      </c>
      <c r="Q122" s="118" t="s">
        <v>23</v>
      </c>
      <c r="R122" s="118"/>
      <c r="S122" s="118" t="s">
        <v>23</v>
      </c>
      <c r="T122" s="118"/>
      <c r="U122" s="118" t="s">
        <v>23</v>
      </c>
    </row>
    <row r="123" hidden="1">
      <c r="A123" s="183" t="str">
        <f>HYPERLINK("https://docs.google.com/spreadsheets/d/1ErNiiU5X-RH2sqOJEUpe74HRzMxT2715FFrDX7EPUQw/edit?usp=sharing","Laura Morett")</f>
        <v>Laura Morett</v>
      </c>
      <c r="B123" s="118">
        <v>19.0</v>
      </c>
      <c r="C123" s="28"/>
      <c r="D123" s="118">
        <v>10.0</v>
      </c>
      <c r="E123" s="29"/>
      <c r="F123" s="29"/>
      <c r="G123" s="118">
        <v>27.0</v>
      </c>
      <c r="H123" s="118"/>
      <c r="I123" s="118" t="s">
        <v>9</v>
      </c>
      <c r="J123" s="118" t="s">
        <v>43</v>
      </c>
      <c r="K123" s="118" t="s">
        <v>86</v>
      </c>
      <c r="L123" s="28"/>
      <c r="M123" s="118">
        <v>1.0</v>
      </c>
      <c r="N123" s="28"/>
      <c r="O123" s="28"/>
      <c r="P123" s="118" t="s">
        <v>23</v>
      </c>
      <c r="Q123" s="118" t="s">
        <v>23</v>
      </c>
      <c r="R123" s="118"/>
      <c r="S123" s="118" t="s">
        <v>23</v>
      </c>
      <c r="T123" s="118"/>
      <c r="U123" s="118" t="s">
        <v>23</v>
      </c>
    </row>
    <row r="124" hidden="1">
      <c r="A124" s="183" t="str">
        <f>HYPERLINK("https://docs.google.com/spreadsheets/d/1ErNiiU5X-RH2sqOJEUpe74HRzMxT2715FFrDX7EPUQw/edit?usp=sharing","John Fincher")</f>
        <v>John Fincher</v>
      </c>
      <c r="B124" s="118">
        <v>19.0</v>
      </c>
      <c r="C124" s="28"/>
      <c r="D124" s="118">
        <v>11.0</v>
      </c>
      <c r="E124" s="29"/>
      <c r="F124" s="29"/>
      <c r="G124" s="118">
        <v>30.0</v>
      </c>
      <c r="H124" s="118"/>
      <c r="I124" s="118" t="s">
        <v>9</v>
      </c>
      <c r="J124" s="118" t="s">
        <v>58</v>
      </c>
      <c r="K124" s="118" t="s">
        <v>63</v>
      </c>
      <c r="L124" s="28"/>
      <c r="M124" s="118">
        <v>1.0</v>
      </c>
      <c r="N124" s="28"/>
      <c r="O124" s="28"/>
      <c r="P124" s="118" t="s">
        <v>23</v>
      </c>
      <c r="Q124" s="118" t="s">
        <v>23</v>
      </c>
      <c r="R124" s="118"/>
      <c r="S124" s="118" t="s">
        <v>23</v>
      </c>
      <c r="T124" s="118"/>
      <c r="U124" s="118" t="s">
        <v>23</v>
      </c>
    </row>
    <row r="125" hidden="1">
      <c r="A125" s="183" t="str">
        <f>HYPERLINK("https://docs.google.com/spreadsheets/d/1ErNiiU5X-RH2sqOJEUpe74HRzMxT2715FFrDX7EPUQw/edit?usp=sharing","Dave Ball")</f>
        <v>Dave Ball</v>
      </c>
      <c r="B125" s="118">
        <v>19.0</v>
      </c>
      <c r="C125" s="28"/>
      <c r="D125" s="118">
        <v>12.0</v>
      </c>
      <c r="E125" s="29"/>
      <c r="F125" s="29"/>
      <c r="G125" s="118">
        <v>31.0</v>
      </c>
      <c r="H125" s="118"/>
      <c r="I125" s="118" t="s">
        <v>9</v>
      </c>
      <c r="J125" s="118" t="s">
        <v>46</v>
      </c>
      <c r="K125" s="118" t="s">
        <v>71</v>
      </c>
      <c r="L125" s="28"/>
      <c r="M125" s="118">
        <v>1.0</v>
      </c>
      <c r="N125" s="28"/>
      <c r="O125" s="28"/>
      <c r="P125" s="118" t="s">
        <v>23</v>
      </c>
      <c r="Q125" s="118" t="s">
        <v>23</v>
      </c>
      <c r="R125" s="118"/>
      <c r="S125" s="118" t="s">
        <v>23</v>
      </c>
      <c r="T125" s="118"/>
      <c r="U125" s="118" t="s">
        <v>23</v>
      </c>
    </row>
    <row r="126" hidden="1">
      <c r="A126" s="183" t="str">
        <f>HYPERLINK("https://docs.google.com/spreadsheets/d/1ErNiiU5X-RH2sqOJEUpe74HRzMxT2715FFrDX7EPUQw/edit?usp=sharing","Monica Padilla")</f>
        <v>Monica Padilla</v>
      </c>
      <c r="B126" s="118">
        <v>19.0</v>
      </c>
      <c r="C126" s="28"/>
      <c r="D126" s="118">
        <v>12.0</v>
      </c>
      <c r="E126" s="29"/>
      <c r="F126" s="29"/>
      <c r="G126" s="118">
        <v>33.0</v>
      </c>
      <c r="H126" s="118"/>
      <c r="I126" s="118" t="s">
        <v>9</v>
      </c>
      <c r="J126" s="118" t="s">
        <v>37</v>
      </c>
      <c r="K126" s="118" t="s">
        <v>44</v>
      </c>
      <c r="L126" s="28"/>
      <c r="M126" s="118">
        <v>1.0</v>
      </c>
      <c r="N126" s="28"/>
      <c r="O126" s="28"/>
      <c r="P126" s="118" t="s">
        <v>23</v>
      </c>
      <c r="Q126" s="118" t="s">
        <v>23</v>
      </c>
      <c r="R126" s="118"/>
      <c r="S126" s="118" t="s">
        <v>23</v>
      </c>
      <c r="T126" s="118"/>
      <c r="U126" s="118" t="s">
        <v>23</v>
      </c>
    </row>
    <row r="127" hidden="1">
      <c r="A127" s="183" t="str">
        <f>HYPERLINK("https://docs.google.com/spreadsheets/d/1ErNiiU5X-RH2sqOJEUpe74HRzMxT2715FFrDX7EPUQw/edit?usp=sharing","Shambo Waters")</f>
        <v>Shambo Waters</v>
      </c>
      <c r="B127" s="118">
        <v>19.0</v>
      </c>
      <c r="C127" s="28"/>
      <c r="D127" s="118">
        <v>13.0</v>
      </c>
      <c r="E127" s="29"/>
      <c r="F127" s="29"/>
      <c r="G127" s="118">
        <v>36.0</v>
      </c>
      <c r="H127" s="118"/>
      <c r="I127" s="118" t="s">
        <v>9</v>
      </c>
      <c r="J127" s="118" t="s">
        <v>24</v>
      </c>
      <c r="K127" s="118" t="s">
        <v>65</v>
      </c>
      <c r="L127" s="28"/>
      <c r="M127" s="118">
        <v>1.0</v>
      </c>
      <c r="N127" s="28"/>
      <c r="O127" s="28"/>
      <c r="P127" s="118" t="s">
        <v>23</v>
      </c>
      <c r="Q127" s="118" t="s">
        <v>23</v>
      </c>
      <c r="R127" s="118"/>
      <c r="S127" s="118" t="s">
        <v>23</v>
      </c>
      <c r="T127" s="118"/>
      <c r="U127" s="118" t="s">
        <v>23</v>
      </c>
    </row>
    <row r="128" hidden="1">
      <c r="A128" s="183" t="str">
        <f>HYPERLINK("https://docs.google.com/spreadsheets/d/1ErNiiU5X-RH2sqOJEUpe74HRzMxT2715FFrDX7EPUQw/edit?usp=sharing","Jaison Robinson")</f>
        <v>Jaison Robinson</v>
      </c>
      <c r="B128" s="118">
        <v>19.0</v>
      </c>
      <c r="C128" s="28"/>
      <c r="D128" s="118">
        <v>14.0</v>
      </c>
      <c r="E128" s="29"/>
      <c r="F128" s="29"/>
      <c r="G128" s="118">
        <v>37.0</v>
      </c>
      <c r="H128" s="118"/>
      <c r="I128" s="118" t="s">
        <v>9</v>
      </c>
      <c r="J128" s="118" t="s">
        <v>40</v>
      </c>
      <c r="K128" s="118" t="s">
        <v>67</v>
      </c>
      <c r="L128" s="118">
        <v>1.0</v>
      </c>
      <c r="M128" s="28"/>
      <c r="N128" s="28"/>
      <c r="O128" s="118">
        <v>1.0</v>
      </c>
      <c r="P128" s="118" t="s">
        <v>23</v>
      </c>
      <c r="Q128" s="118" t="s">
        <v>23</v>
      </c>
      <c r="R128" s="118"/>
      <c r="S128" s="118" t="s">
        <v>23</v>
      </c>
      <c r="T128" s="118"/>
      <c r="U128" s="118" t="s">
        <v>23</v>
      </c>
    </row>
    <row r="129" hidden="1">
      <c r="A129" s="183" t="str">
        <f>HYPERLINK("https://docs.google.com/spreadsheets/d/1ErNiiU5X-RH2sqOJEUpe74HRzMxT2715FFrDX7EPUQw/edit?usp=sharing","Brett Clouser")</f>
        <v>Brett Clouser</v>
      </c>
      <c r="B129" s="118">
        <v>19.0</v>
      </c>
      <c r="C129" s="28"/>
      <c r="D129" s="118">
        <v>14.0</v>
      </c>
      <c r="E129" s="29"/>
      <c r="F129" s="29"/>
      <c r="G129" s="118">
        <v>38.0</v>
      </c>
      <c r="H129" s="118"/>
      <c r="I129" s="118" t="s">
        <v>9</v>
      </c>
      <c r="J129" s="118" t="s">
        <v>45</v>
      </c>
      <c r="K129" s="118" t="s">
        <v>55</v>
      </c>
      <c r="L129" s="28"/>
      <c r="M129" s="118">
        <v>1.0</v>
      </c>
      <c r="N129" s="28"/>
      <c r="O129" s="28"/>
      <c r="P129" s="118" t="s">
        <v>23</v>
      </c>
      <c r="Q129" s="118" t="s">
        <v>23</v>
      </c>
      <c r="R129" s="118"/>
      <c r="S129" s="118" t="s">
        <v>23</v>
      </c>
      <c r="T129" s="118"/>
      <c r="U129" s="118" t="s">
        <v>23</v>
      </c>
    </row>
    <row r="130" hidden="1">
      <c r="A130" s="183" t="str">
        <f>HYPERLINK("https://docs.google.com/spreadsheets/d/1ErNiiU5X-RH2sqOJEUpe74HRzMxT2715FFrDX7EPUQw/edit?usp=sharing","Mick Trimming")</f>
        <v>Mick Trimming</v>
      </c>
      <c r="B130" s="118">
        <v>19.0</v>
      </c>
      <c r="C130" s="28"/>
      <c r="D130" s="118">
        <v>14.0</v>
      </c>
      <c r="E130" s="29"/>
      <c r="F130" s="29"/>
      <c r="G130" s="118">
        <v>39.0</v>
      </c>
      <c r="H130" s="118"/>
      <c r="I130" s="118" t="s">
        <v>9</v>
      </c>
      <c r="J130" s="118" t="s">
        <v>33</v>
      </c>
      <c r="K130" s="118" t="s">
        <v>62</v>
      </c>
      <c r="L130" s="118">
        <v>1.0</v>
      </c>
      <c r="M130" s="28"/>
      <c r="N130" s="28"/>
      <c r="O130" s="118">
        <v>1.0</v>
      </c>
      <c r="P130" s="118" t="s">
        <v>23</v>
      </c>
      <c r="Q130" s="118" t="s">
        <v>23</v>
      </c>
      <c r="R130" s="118"/>
      <c r="S130" s="118" t="s">
        <v>23</v>
      </c>
      <c r="T130" s="118"/>
      <c r="U130" s="118" t="s">
        <v>23</v>
      </c>
    </row>
    <row r="131" hidden="1">
      <c r="A131" s="183" t="str">
        <f>HYPERLINK("https://docs.google.com/spreadsheets/d/1ErNiiU5X-RH2sqOJEUpe74HRzMxT2715FFrDX7EPUQw/edit?usp=sharing","Russell Hantz")</f>
        <v>Russell Hantz</v>
      </c>
      <c r="B131" s="118">
        <v>19.0</v>
      </c>
      <c r="C131" s="28"/>
      <c r="D131" s="118">
        <v>14.0</v>
      </c>
      <c r="E131" s="29"/>
      <c r="F131" s="29"/>
      <c r="G131" s="118">
        <v>39.0</v>
      </c>
      <c r="H131" s="118"/>
      <c r="I131" s="118" t="s">
        <v>9</v>
      </c>
      <c r="J131" s="118" t="s">
        <v>31</v>
      </c>
      <c r="K131" s="118" t="s">
        <v>39</v>
      </c>
      <c r="L131" s="118">
        <v>1.0</v>
      </c>
      <c r="M131" s="28"/>
      <c r="N131" s="28"/>
      <c r="O131" s="118">
        <v>1.0</v>
      </c>
      <c r="P131" s="118" t="s">
        <v>23</v>
      </c>
      <c r="Q131" s="118" t="s">
        <v>23</v>
      </c>
      <c r="R131" s="118"/>
      <c r="S131" s="118">
        <v>3.0</v>
      </c>
      <c r="T131" s="118"/>
      <c r="U131" s="118" t="s">
        <v>23</v>
      </c>
    </row>
    <row r="132" hidden="1">
      <c r="A132" s="183" t="str">
        <f>HYPERLINK("https://docs.google.com/spreadsheets/d/1ErNiiU5X-RH2sqOJEUpe74HRzMxT2715FFrDX7EPUQw/edit?usp=sharing","Natalie White")</f>
        <v>Natalie White</v>
      </c>
      <c r="B132" s="118">
        <v>19.0</v>
      </c>
      <c r="C132" s="28"/>
      <c r="D132" s="118">
        <v>14.0</v>
      </c>
      <c r="E132" s="29"/>
      <c r="F132" s="29"/>
      <c r="G132" s="118">
        <v>39.0</v>
      </c>
      <c r="H132" s="118"/>
      <c r="I132" s="118" t="s">
        <v>9</v>
      </c>
      <c r="J132" s="118" t="s">
        <v>28</v>
      </c>
      <c r="K132" s="118" t="s">
        <v>36</v>
      </c>
      <c r="L132" s="118">
        <v>1.0</v>
      </c>
      <c r="M132" s="28"/>
      <c r="N132" s="28"/>
      <c r="O132" s="118">
        <v>1.0</v>
      </c>
      <c r="P132" s="118" t="s">
        <v>23</v>
      </c>
      <c r="Q132" s="118" t="s">
        <v>23</v>
      </c>
      <c r="R132" s="118"/>
      <c r="S132" s="118" t="s">
        <v>23</v>
      </c>
      <c r="T132" s="118"/>
      <c r="U132" s="118" t="s">
        <v>23</v>
      </c>
    </row>
    <row r="133" hidden="1">
      <c r="A133" s="183" t="str">
        <f>HYPERLINK("https://docs.google.com/spreadsheets/d/1cyZhX7PoXyvXfWS1vj4xYnbYsHfLh8GcIspmX9GLb24/edit?usp=sharing","Sugar Kiper")</f>
        <v>Sugar Kiper</v>
      </c>
      <c r="B133" s="118">
        <v>20.0</v>
      </c>
      <c r="C133" s="28"/>
      <c r="D133" s="118">
        <v>1.0</v>
      </c>
      <c r="E133" s="29"/>
      <c r="F133" s="29"/>
      <c r="G133" s="118">
        <v>3.0</v>
      </c>
      <c r="H133" s="118"/>
      <c r="I133" s="118" t="s">
        <v>42</v>
      </c>
      <c r="J133" s="118" t="s">
        <v>60</v>
      </c>
      <c r="K133" s="118" t="s">
        <v>110</v>
      </c>
      <c r="L133" s="118">
        <v>1.0</v>
      </c>
      <c r="M133" s="118" t="s">
        <v>23</v>
      </c>
      <c r="N133" s="118" t="s">
        <v>23</v>
      </c>
      <c r="O133" s="118">
        <v>1.0</v>
      </c>
      <c r="P133" s="118" t="s">
        <v>23</v>
      </c>
      <c r="Q133" s="118" t="s">
        <v>23</v>
      </c>
      <c r="R133" s="118"/>
      <c r="S133" s="118" t="s">
        <v>23</v>
      </c>
      <c r="T133" s="118" t="s">
        <v>23</v>
      </c>
      <c r="U133" s="118" t="s">
        <v>23</v>
      </c>
    </row>
    <row r="134" hidden="1">
      <c r="A134" s="183" t="str">
        <f>HYPERLINK("https://docs.google.com/spreadsheets/d/1cyZhX7PoXyvXfWS1vj4xYnbYsHfLh8GcIspmX9GLb24/edit?usp=sharing","Stephenie LaGrossa")</f>
        <v>Stephenie LaGrossa</v>
      </c>
      <c r="B134" s="118">
        <v>20.0</v>
      </c>
      <c r="C134" s="28"/>
      <c r="D134" s="118">
        <v>2.0</v>
      </c>
      <c r="E134" s="29"/>
      <c r="F134" s="29"/>
      <c r="G134" s="118">
        <v>6.0</v>
      </c>
      <c r="H134" s="118"/>
      <c r="I134" s="118" t="s">
        <v>42</v>
      </c>
      <c r="J134" s="118" t="s">
        <v>60</v>
      </c>
      <c r="K134" s="118" t="s">
        <v>131</v>
      </c>
      <c r="L134" s="118">
        <v>1.0</v>
      </c>
      <c r="M134" s="28"/>
      <c r="N134" s="28"/>
      <c r="O134" s="118">
        <v>1.0</v>
      </c>
      <c r="P134" s="118" t="s">
        <v>23</v>
      </c>
      <c r="Q134" s="118" t="s">
        <v>23</v>
      </c>
      <c r="R134" s="118"/>
      <c r="S134" s="118" t="s">
        <v>23</v>
      </c>
      <c r="T134" s="118"/>
      <c r="U134" s="118" t="s">
        <v>23</v>
      </c>
    </row>
    <row r="135" hidden="1">
      <c r="A135" s="183" t="str">
        <f>HYPERLINK("https://docs.google.com/spreadsheets/d/1cyZhX7PoXyvXfWS1vj4xYnbYsHfLh8GcIspmX9GLb24/edit?usp=sharing","Randy Bailey")</f>
        <v>Randy Bailey</v>
      </c>
      <c r="B135" s="118">
        <v>20.0</v>
      </c>
      <c r="C135" s="28"/>
      <c r="D135" s="118">
        <v>3.0</v>
      </c>
      <c r="E135" s="29"/>
      <c r="F135" s="29"/>
      <c r="G135" s="118">
        <v>8.0</v>
      </c>
      <c r="H135" s="118"/>
      <c r="I135" s="118" t="s">
        <v>42</v>
      </c>
      <c r="J135" s="118" t="s">
        <v>60</v>
      </c>
      <c r="K135" s="118" t="s">
        <v>124</v>
      </c>
      <c r="L135" s="28"/>
      <c r="M135" s="118">
        <v>1.0</v>
      </c>
      <c r="N135" s="28"/>
      <c r="O135" s="28"/>
      <c r="P135" s="118" t="s">
        <v>23</v>
      </c>
      <c r="Q135" s="118" t="s">
        <v>23</v>
      </c>
      <c r="R135" s="118"/>
      <c r="S135" s="118" t="s">
        <v>23</v>
      </c>
      <c r="T135" s="118"/>
      <c r="U135" s="118" t="s">
        <v>23</v>
      </c>
    </row>
    <row r="136" hidden="1">
      <c r="A136" s="183" t="str">
        <f>HYPERLINK("https://docs.google.com/spreadsheets/d/1cyZhX7PoXyvXfWS1vj4xYnbYsHfLh8GcIspmX9GLb24/edit?usp=sharing","Cirie Fields")</f>
        <v>Cirie Fields</v>
      </c>
      <c r="B136" s="118">
        <v>20.0</v>
      </c>
      <c r="C136" s="28"/>
      <c r="D136" s="118">
        <v>4.0</v>
      </c>
      <c r="E136" s="29"/>
      <c r="F136" s="29"/>
      <c r="G136" s="118">
        <v>11.0</v>
      </c>
      <c r="H136" s="118"/>
      <c r="I136" s="118" t="s">
        <v>42</v>
      </c>
      <c r="J136" s="118" t="s">
        <v>60</v>
      </c>
      <c r="K136" s="118" t="s">
        <v>96</v>
      </c>
      <c r="L136" s="118">
        <v>1.0</v>
      </c>
      <c r="M136" s="28"/>
      <c r="N136" s="28"/>
      <c r="O136" s="118">
        <v>1.0</v>
      </c>
      <c r="P136" s="118" t="s">
        <v>23</v>
      </c>
      <c r="Q136" s="118" t="s">
        <v>23</v>
      </c>
      <c r="R136" s="118"/>
      <c r="S136" s="118" t="s">
        <v>23</v>
      </c>
      <c r="T136" s="118"/>
      <c r="U136" s="118" t="s">
        <v>23</v>
      </c>
    </row>
    <row r="137" hidden="1">
      <c r="A137" s="183" t="str">
        <f>HYPERLINK("https://docs.google.com/spreadsheets/d/1cyZhX7PoXyvXfWS1vj4xYnbYsHfLh8GcIspmX9GLb24/edit?usp=sharing","Tom Westman")</f>
        <v>Tom Westman</v>
      </c>
      <c r="B137" s="118">
        <v>20.0</v>
      </c>
      <c r="C137" s="28"/>
      <c r="D137" s="118">
        <v>5.0</v>
      </c>
      <c r="E137" s="29"/>
      <c r="F137" s="29"/>
      <c r="G137" s="118">
        <v>14.0</v>
      </c>
      <c r="H137" s="118"/>
      <c r="I137" s="118" t="s">
        <v>42</v>
      </c>
      <c r="J137" s="118" t="s">
        <v>60</v>
      </c>
      <c r="K137" s="118" t="s">
        <v>103</v>
      </c>
      <c r="L137" s="118">
        <v>1.0</v>
      </c>
      <c r="M137" s="28"/>
      <c r="N137" s="28"/>
      <c r="O137" s="118">
        <v>1.0</v>
      </c>
      <c r="P137" s="118" t="s">
        <v>23</v>
      </c>
      <c r="Q137" s="118" t="s">
        <v>23</v>
      </c>
      <c r="R137" s="118"/>
      <c r="S137" s="118">
        <v>1.0</v>
      </c>
      <c r="T137" s="118"/>
      <c r="U137" s="118" t="s">
        <v>23</v>
      </c>
    </row>
    <row r="138" hidden="1">
      <c r="A138" s="183" t="str">
        <f>HYPERLINK("https://docs.google.com/spreadsheets/d/1cyZhX7PoXyvXfWS1vj4xYnbYsHfLh8GcIspmX9GLb24/edit?usp=sharing","Tyson Apostol")</f>
        <v>Tyson Apostol</v>
      </c>
      <c r="B138" s="118">
        <v>20.0</v>
      </c>
      <c r="C138" s="28"/>
      <c r="D138" s="118">
        <v>6.0</v>
      </c>
      <c r="E138" s="29"/>
      <c r="F138" s="29"/>
      <c r="G138" s="118">
        <v>15.0</v>
      </c>
      <c r="H138" s="118"/>
      <c r="I138" s="118" t="s">
        <v>42</v>
      </c>
      <c r="J138" s="118" t="s">
        <v>60</v>
      </c>
      <c r="K138" s="118" t="s">
        <v>112</v>
      </c>
      <c r="L138" s="28"/>
      <c r="M138" s="118">
        <v>1.0</v>
      </c>
      <c r="N138" s="28"/>
      <c r="O138" s="28"/>
      <c r="P138" s="118" t="s">
        <v>23</v>
      </c>
      <c r="Q138" s="118" t="s">
        <v>23</v>
      </c>
      <c r="R138" s="118"/>
      <c r="S138" s="118" t="s">
        <v>23</v>
      </c>
      <c r="T138" s="118"/>
      <c r="U138" s="118" t="s">
        <v>23</v>
      </c>
    </row>
    <row r="139" hidden="1">
      <c r="A139" s="183" t="str">
        <f>HYPERLINK("https://docs.google.com/spreadsheets/d/1cyZhX7PoXyvXfWS1vj4xYnbYsHfLh8GcIspmX9GLb24/edit?usp=sharing","James Clement")</f>
        <v>James Clement</v>
      </c>
      <c r="B139" s="118">
        <v>20.0</v>
      </c>
      <c r="C139" s="28"/>
      <c r="D139" s="118">
        <v>6.0</v>
      </c>
      <c r="E139" s="29"/>
      <c r="F139" s="29"/>
      <c r="G139" s="118">
        <v>15.0</v>
      </c>
      <c r="H139" s="118"/>
      <c r="I139" s="118" t="s">
        <v>42</v>
      </c>
      <c r="J139" s="118" t="s">
        <v>60</v>
      </c>
      <c r="K139" s="118" t="s">
        <v>111</v>
      </c>
      <c r="L139" s="118">
        <v>1.0</v>
      </c>
      <c r="M139" s="28"/>
      <c r="N139" s="28"/>
      <c r="O139" s="118">
        <v>1.0</v>
      </c>
      <c r="P139" s="118" t="s">
        <v>23</v>
      </c>
      <c r="Q139" s="118" t="s">
        <v>23</v>
      </c>
      <c r="R139" s="118"/>
      <c r="S139" s="118" t="s">
        <v>23</v>
      </c>
      <c r="T139" s="118"/>
      <c r="U139" s="118" t="s">
        <v>23</v>
      </c>
    </row>
    <row r="140" hidden="1">
      <c r="A140" s="183" t="str">
        <f>HYPERLINK("https://docs.google.com/spreadsheets/d/1cyZhX7PoXyvXfWS1vj4xYnbYsHfLh8GcIspmX9GLb24/edit?usp=sharing","Rob Mariano")</f>
        <v>Rob Mariano</v>
      </c>
      <c r="B140" s="118">
        <v>20.0</v>
      </c>
      <c r="C140" s="28"/>
      <c r="D140" s="118">
        <v>7.0</v>
      </c>
      <c r="E140" s="29"/>
      <c r="F140" s="29"/>
      <c r="G140" s="118">
        <v>18.0</v>
      </c>
      <c r="H140" s="118"/>
      <c r="I140" s="118" t="s">
        <v>42</v>
      </c>
      <c r="J140" s="118" t="s">
        <v>60</v>
      </c>
      <c r="K140" s="118" t="s">
        <v>100</v>
      </c>
      <c r="L140" s="28"/>
      <c r="M140" s="118">
        <v>1.0</v>
      </c>
      <c r="N140" s="28"/>
      <c r="O140" s="28"/>
      <c r="P140" s="118" t="s">
        <v>23</v>
      </c>
      <c r="Q140" s="118" t="s">
        <v>23</v>
      </c>
      <c r="R140" s="118"/>
      <c r="S140" s="118" t="s">
        <v>23</v>
      </c>
      <c r="T140" s="118"/>
      <c r="U140" s="118" t="s">
        <v>23</v>
      </c>
    </row>
    <row r="141" hidden="1">
      <c r="A141" s="183" t="str">
        <f>HYPERLINK("https://docs.google.com/spreadsheets/d/1cyZhX7PoXyvXfWS1vj4xYnbYsHfLh8GcIspmX9GLb24/edit?usp=sharing","Benjamin ""Coach"" Wade")</f>
        <v>Benjamin "Coach" Wade</v>
      </c>
      <c r="B141" s="118">
        <v>20.0</v>
      </c>
      <c r="C141" s="28"/>
      <c r="D141" s="118">
        <v>8.0</v>
      </c>
      <c r="E141" s="29"/>
      <c r="F141" s="29"/>
      <c r="G141" s="118">
        <v>21.0</v>
      </c>
      <c r="H141" s="118"/>
      <c r="I141" s="118" t="s">
        <v>42</v>
      </c>
      <c r="J141" s="118" t="s">
        <v>84</v>
      </c>
      <c r="K141" s="118" t="s">
        <v>82</v>
      </c>
      <c r="L141" s="28"/>
      <c r="M141" s="118">
        <v>1.0</v>
      </c>
      <c r="N141" s="28"/>
      <c r="O141" s="28"/>
      <c r="P141" s="118" t="s">
        <v>23</v>
      </c>
      <c r="Q141" s="118" t="s">
        <v>23</v>
      </c>
      <c r="R141" s="118"/>
      <c r="S141" s="118" t="s">
        <v>23</v>
      </c>
      <c r="T141" s="118"/>
      <c r="U141" s="118" t="s">
        <v>23</v>
      </c>
    </row>
    <row r="142" hidden="1">
      <c r="A142" s="183" t="str">
        <f>HYPERLINK("https://docs.google.com/spreadsheets/d/1cyZhX7PoXyvXfWS1vj4xYnbYsHfLh8GcIspmX9GLb24/edit?usp=sharing","Courtney Yates")</f>
        <v>Courtney Yates</v>
      </c>
      <c r="B142" s="118">
        <v>20.0</v>
      </c>
      <c r="C142" s="28"/>
      <c r="D142" s="118">
        <v>9.0</v>
      </c>
      <c r="E142" s="29"/>
      <c r="F142" s="29"/>
      <c r="G142" s="118">
        <v>24.0</v>
      </c>
      <c r="H142" s="118"/>
      <c r="I142" s="118" t="s">
        <v>42</v>
      </c>
      <c r="J142" s="118" t="s">
        <v>48</v>
      </c>
      <c r="K142" s="118" t="s">
        <v>69</v>
      </c>
      <c r="L142" s="28"/>
      <c r="M142" s="118">
        <v>1.0</v>
      </c>
      <c r="N142" s="28"/>
      <c r="O142" s="28"/>
      <c r="P142" s="118" t="s">
        <v>23</v>
      </c>
      <c r="Q142" s="118" t="s">
        <v>23</v>
      </c>
      <c r="R142" s="118"/>
      <c r="S142" s="118" t="s">
        <v>23</v>
      </c>
      <c r="T142" s="118"/>
      <c r="U142" s="118" t="s">
        <v>23</v>
      </c>
    </row>
    <row r="143" hidden="1">
      <c r="A143" s="183" t="str">
        <f>HYPERLINK("https://docs.google.com/spreadsheets/d/1cyZhX7PoXyvXfWS1vj4xYnbYsHfLh8GcIspmX9GLb24/edit?usp=sharing","J.T. Thomas")</f>
        <v>J.T. Thomas</v>
      </c>
      <c r="B143" s="118">
        <v>20.0</v>
      </c>
      <c r="C143" s="28"/>
      <c r="D143" s="118">
        <v>10.0</v>
      </c>
      <c r="E143" s="29"/>
      <c r="F143" s="29"/>
      <c r="G143" s="118">
        <v>27.0</v>
      </c>
      <c r="H143" s="118"/>
      <c r="I143" s="118" t="s">
        <v>9</v>
      </c>
      <c r="J143" s="118" t="s">
        <v>43</v>
      </c>
      <c r="K143" s="118" t="s">
        <v>86</v>
      </c>
      <c r="L143" s="118">
        <v>1.0</v>
      </c>
      <c r="M143" s="28"/>
      <c r="N143" s="28"/>
      <c r="O143" s="118">
        <v>1.0</v>
      </c>
      <c r="P143" s="118" t="s">
        <v>23</v>
      </c>
      <c r="Q143" s="118" t="s">
        <v>23</v>
      </c>
      <c r="R143" s="118"/>
      <c r="S143" s="118">
        <v>1.0</v>
      </c>
      <c r="T143" s="118"/>
      <c r="U143" s="118" t="s">
        <v>23</v>
      </c>
    </row>
    <row r="144" hidden="1">
      <c r="A144" s="183" t="str">
        <f>HYPERLINK("https://docs.google.com/spreadsheets/d/1cyZhX7PoXyvXfWS1vj4xYnbYsHfLh8GcIspmX9GLb24/edit?usp=sharing","Amanda Kimmel")</f>
        <v>Amanda Kimmel</v>
      </c>
      <c r="B144" s="118">
        <v>20.0</v>
      </c>
      <c r="C144" s="28"/>
      <c r="D144" s="118">
        <v>11.0</v>
      </c>
      <c r="E144" s="29"/>
      <c r="F144" s="29"/>
      <c r="G144" s="118">
        <v>30.0</v>
      </c>
      <c r="H144" s="118"/>
      <c r="I144" s="118" t="s">
        <v>9</v>
      </c>
      <c r="J144" s="118" t="s">
        <v>58</v>
      </c>
      <c r="K144" s="118" t="s">
        <v>63</v>
      </c>
      <c r="L144" s="118">
        <v>1.0</v>
      </c>
      <c r="M144" s="28"/>
      <c r="N144" s="28"/>
      <c r="O144" s="118">
        <v>1.0</v>
      </c>
      <c r="P144" s="118" t="s">
        <v>23</v>
      </c>
      <c r="Q144" s="118" t="s">
        <v>23</v>
      </c>
      <c r="R144" s="118"/>
      <c r="S144" s="118" t="s">
        <v>23</v>
      </c>
      <c r="T144" s="118"/>
      <c r="U144" s="118" t="s">
        <v>23</v>
      </c>
    </row>
    <row r="145" hidden="1">
      <c r="A145" s="183" t="str">
        <f>HYPERLINK("https://docs.google.com/spreadsheets/d/1cyZhX7PoXyvXfWS1vj4xYnbYsHfLh8GcIspmX9GLb24/edit?usp=sharing","Candice Woodcock")</f>
        <v>Candice Woodcock</v>
      </c>
      <c r="B145" s="118">
        <v>20.0</v>
      </c>
      <c r="C145" s="28"/>
      <c r="D145" s="118">
        <v>12.0</v>
      </c>
      <c r="E145" s="29"/>
      <c r="F145" s="29"/>
      <c r="G145" s="118">
        <v>31.0</v>
      </c>
      <c r="H145" s="118"/>
      <c r="I145" s="118" t="s">
        <v>9</v>
      </c>
      <c r="J145" s="118" t="s">
        <v>46</v>
      </c>
      <c r="K145" s="118" t="s">
        <v>71</v>
      </c>
      <c r="L145" s="118">
        <v>1.0</v>
      </c>
      <c r="M145" s="28"/>
      <c r="N145" s="28"/>
      <c r="O145" s="118">
        <v>1.0</v>
      </c>
      <c r="P145" s="118" t="s">
        <v>23</v>
      </c>
      <c r="Q145" s="118" t="s">
        <v>23</v>
      </c>
      <c r="R145" s="118"/>
      <c r="S145" s="118" t="s">
        <v>23</v>
      </c>
      <c r="T145" s="118"/>
      <c r="U145" s="118" t="s">
        <v>23</v>
      </c>
    </row>
    <row r="146" hidden="1">
      <c r="A146" s="183" t="str">
        <f>HYPERLINK("https://docs.google.com/spreadsheets/d/1cyZhX7PoXyvXfWS1vj4xYnbYsHfLh8GcIspmX9GLb24/edit?usp=sharing","Danielle DiLorenzo")</f>
        <v>Danielle DiLorenzo</v>
      </c>
      <c r="B146" s="118">
        <v>20.0</v>
      </c>
      <c r="C146" s="28"/>
      <c r="D146" s="118">
        <v>12.0</v>
      </c>
      <c r="E146" s="29"/>
      <c r="F146" s="29"/>
      <c r="G146" s="118">
        <v>33.0</v>
      </c>
      <c r="H146" s="118"/>
      <c r="I146" s="118" t="s">
        <v>9</v>
      </c>
      <c r="J146" s="118" t="s">
        <v>37</v>
      </c>
      <c r="K146" s="118" t="s">
        <v>44</v>
      </c>
      <c r="L146" s="28"/>
      <c r="M146" s="118">
        <v>1.0</v>
      </c>
      <c r="N146" s="28"/>
      <c r="O146" s="28"/>
      <c r="P146" s="118" t="s">
        <v>23</v>
      </c>
      <c r="Q146" s="118" t="s">
        <v>23</v>
      </c>
      <c r="R146" s="118"/>
      <c r="S146" s="118" t="s">
        <v>23</v>
      </c>
      <c r="T146" s="118"/>
      <c r="U146" s="118" t="s">
        <v>23</v>
      </c>
    </row>
    <row r="147" hidden="1">
      <c r="A147" s="183" t="str">
        <f>HYPERLINK("https://docs.google.com/spreadsheets/d/1cyZhX7PoXyvXfWS1vj4xYnbYsHfLh8GcIspmX9GLb24/edit?usp=sharing","Rupert Boneham")</f>
        <v>Rupert Boneham</v>
      </c>
      <c r="B147" s="118">
        <v>20.0</v>
      </c>
      <c r="C147" s="28"/>
      <c r="D147" s="118">
        <v>13.0</v>
      </c>
      <c r="E147" s="29"/>
      <c r="F147" s="29"/>
      <c r="G147" s="118">
        <v>36.0</v>
      </c>
      <c r="H147" s="118"/>
      <c r="I147" s="118" t="s">
        <v>9</v>
      </c>
      <c r="J147" s="118" t="s">
        <v>24</v>
      </c>
      <c r="K147" s="118" t="s">
        <v>65</v>
      </c>
      <c r="L147" s="118">
        <v>1.0</v>
      </c>
      <c r="M147" s="28"/>
      <c r="N147" s="28"/>
      <c r="O147" s="118">
        <v>1.0</v>
      </c>
      <c r="P147" s="118" t="s">
        <v>23</v>
      </c>
      <c r="Q147" s="118" t="s">
        <v>23</v>
      </c>
      <c r="R147" s="118"/>
      <c r="S147" s="118" t="s">
        <v>23</v>
      </c>
      <c r="T147" s="118"/>
      <c r="U147" s="118" t="s">
        <v>23</v>
      </c>
    </row>
    <row r="148" hidden="1">
      <c r="A148" s="183" t="str">
        <f>HYPERLINK("https://docs.google.com/spreadsheets/d/1cyZhX7PoXyvXfWS1vj4xYnbYsHfLh8GcIspmX9GLb24/edit?usp=sharing","Colby Donaldson")</f>
        <v>Colby Donaldson</v>
      </c>
      <c r="B148" s="118">
        <v>20.0</v>
      </c>
      <c r="C148" s="28"/>
      <c r="D148" s="118">
        <v>14.0</v>
      </c>
      <c r="E148" s="29"/>
      <c r="F148" s="29"/>
      <c r="G148" s="118">
        <v>37.0</v>
      </c>
      <c r="H148" s="118"/>
      <c r="I148" s="118" t="s">
        <v>9</v>
      </c>
      <c r="J148" s="118" t="s">
        <v>40</v>
      </c>
      <c r="K148" s="118" t="s">
        <v>67</v>
      </c>
      <c r="L148" s="118">
        <v>1.0</v>
      </c>
      <c r="M148" s="28"/>
      <c r="N148" s="28"/>
      <c r="O148" s="118">
        <v>1.0</v>
      </c>
      <c r="P148" s="118" t="s">
        <v>23</v>
      </c>
      <c r="Q148" s="118" t="s">
        <v>23</v>
      </c>
      <c r="R148" s="118"/>
      <c r="S148" s="118" t="s">
        <v>23</v>
      </c>
      <c r="T148" s="118"/>
      <c r="U148" s="118" t="s">
        <v>23</v>
      </c>
    </row>
    <row r="149" hidden="1">
      <c r="A149" s="183" t="str">
        <f>HYPERLINK("https://docs.google.com/spreadsheets/d/1cyZhX7PoXyvXfWS1vj4xYnbYsHfLh8GcIspmX9GLb24/edit?usp=sharing","Jerri Manthey")</f>
        <v>Jerri Manthey</v>
      </c>
      <c r="B149" s="118">
        <v>20.0</v>
      </c>
      <c r="C149" s="28"/>
      <c r="D149" s="118">
        <v>14.0</v>
      </c>
      <c r="E149" s="29"/>
      <c r="F149" s="29"/>
      <c r="G149" s="118">
        <v>38.0</v>
      </c>
      <c r="H149" s="118"/>
      <c r="I149" s="118" t="s">
        <v>9</v>
      </c>
      <c r="J149" s="118" t="s">
        <v>45</v>
      </c>
      <c r="K149" s="118" t="s">
        <v>55</v>
      </c>
      <c r="L149" s="28"/>
      <c r="M149" s="118">
        <v>1.0</v>
      </c>
      <c r="N149" s="28"/>
      <c r="O149" s="28"/>
      <c r="P149" s="118" t="s">
        <v>23</v>
      </c>
      <c r="Q149" s="118" t="s">
        <v>23</v>
      </c>
      <c r="R149" s="118"/>
      <c r="S149" s="118" t="s">
        <v>23</v>
      </c>
      <c r="T149" s="118"/>
      <c r="U149" s="118" t="s">
        <v>23</v>
      </c>
    </row>
    <row r="150" hidden="1">
      <c r="A150" s="183" t="str">
        <f>HYPERLINK("https://docs.google.com/spreadsheets/d/1cyZhX7PoXyvXfWS1vj4xYnbYsHfLh8GcIspmX9GLb24/edit?usp=sharing","Russell Hantz")</f>
        <v>Russell Hantz</v>
      </c>
      <c r="B150" s="118">
        <v>20.0</v>
      </c>
      <c r="C150" s="28"/>
      <c r="D150" s="118">
        <v>14.0</v>
      </c>
      <c r="E150" s="29"/>
      <c r="F150" s="29"/>
      <c r="G150" s="118">
        <v>39.0</v>
      </c>
      <c r="H150" s="118"/>
      <c r="I150" s="118" t="s">
        <v>9</v>
      </c>
      <c r="J150" s="118" t="s">
        <v>33</v>
      </c>
      <c r="K150" s="118" t="s">
        <v>62</v>
      </c>
      <c r="L150" s="28"/>
      <c r="M150" s="118">
        <v>1.0</v>
      </c>
      <c r="N150" s="28"/>
      <c r="O150" s="28"/>
      <c r="P150" s="118" t="s">
        <v>23</v>
      </c>
      <c r="Q150" s="118" t="s">
        <v>23</v>
      </c>
      <c r="R150" s="118"/>
      <c r="S150" s="118">
        <v>3.0</v>
      </c>
      <c r="T150" s="118"/>
      <c r="U150" s="118" t="s">
        <v>23</v>
      </c>
    </row>
    <row r="151" hidden="1">
      <c r="A151" s="183" t="str">
        <f>HYPERLINK("https://docs.google.com/spreadsheets/d/1cyZhX7PoXyvXfWS1vj4xYnbYsHfLh8GcIspmX9GLb24/edit?usp=sharing","Parvati Shallow")</f>
        <v>Parvati Shallow</v>
      </c>
      <c r="B151" s="118">
        <v>20.0</v>
      </c>
      <c r="C151" s="28"/>
      <c r="D151" s="118">
        <v>14.0</v>
      </c>
      <c r="E151" s="29"/>
      <c r="F151" s="29"/>
      <c r="G151" s="118">
        <v>39.0</v>
      </c>
      <c r="H151" s="118"/>
      <c r="I151" s="118" t="s">
        <v>9</v>
      </c>
      <c r="J151" s="118" t="s">
        <v>31</v>
      </c>
      <c r="K151" s="118" t="s">
        <v>39</v>
      </c>
      <c r="L151" s="28"/>
      <c r="M151" s="118">
        <v>1.0</v>
      </c>
      <c r="N151" s="28"/>
      <c r="O151" s="28"/>
      <c r="P151" s="118" t="s">
        <v>23</v>
      </c>
      <c r="Q151" s="118" t="s">
        <v>23</v>
      </c>
      <c r="R151" s="118"/>
      <c r="S151" s="118">
        <v>2.0</v>
      </c>
      <c r="T151" s="118"/>
      <c r="U151" s="118" t="s">
        <v>23</v>
      </c>
    </row>
    <row r="152" hidden="1">
      <c r="A152" s="183" t="str">
        <f>HYPERLINK("https://docs.google.com/spreadsheets/d/1cyZhX7PoXyvXfWS1vj4xYnbYsHfLh8GcIspmX9GLb24/edit?usp=sharing","Sandra Diaz-Twine")</f>
        <v>Sandra Diaz-Twine</v>
      </c>
      <c r="B152" s="118">
        <v>20.0</v>
      </c>
      <c r="C152" s="28"/>
      <c r="D152" s="118">
        <v>14.0</v>
      </c>
      <c r="E152" s="29"/>
      <c r="F152" s="29"/>
      <c r="G152" s="118">
        <v>39.0</v>
      </c>
      <c r="H152" s="118"/>
      <c r="I152" s="118" t="s">
        <v>9</v>
      </c>
      <c r="J152" s="118" t="s">
        <v>28</v>
      </c>
      <c r="K152" s="118" t="s">
        <v>36</v>
      </c>
      <c r="L152" s="28"/>
      <c r="M152" s="118">
        <v>1.0</v>
      </c>
      <c r="N152" s="28"/>
      <c r="O152" s="28"/>
      <c r="P152" s="118" t="s">
        <v>23</v>
      </c>
      <c r="Q152" s="118" t="s">
        <v>23</v>
      </c>
      <c r="R152" s="118"/>
      <c r="S152" s="118">
        <v>1.0</v>
      </c>
      <c r="T152" s="118"/>
      <c r="U152" s="118" t="s">
        <v>23</v>
      </c>
    </row>
    <row r="153" hidden="1">
      <c r="A153" s="156" t="s">
        <v>1232</v>
      </c>
      <c r="B153" s="184">
        <v>37.0</v>
      </c>
      <c r="C153" s="184">
        <v>2.0</v>
      </c>
      <c r="D153" s="184">
        <v>1.0</v>
      </c>
      <c r="E153" s="185">
        <v>2.0</v>
      </c>
      <c r="F153" s="186"/>
      <c r="G153" s="184">
        <v>3.0</v>
      </c>
      <c r="H153" s="187"/>
      <c r="I153" s="184" t="s">
        <v>42</v>
      </c>
      <c r="J153" s="184" t="s">
        <v>60</v>
      </c>
      <c r="K153" s="184" t="s">
        <v>110</v>
      </c>
      <c r="L153" s="184">
        <v>1.0</v>
      </c>
      <c r="M153" s="184" t="s">
        <v>23</v>
      </c>
      <c r="N153" s="184" t="s">
        <v>23</v>
      </c>
      <c r="O153" s="184" t="s">
        <v>23</v>
      </c>
      <c r="P153" s="184" t="s">
        <v>23</v>
      </c>
      <c r="Q153" s="184" t="s">
        <v>23</v>
      </c>
      <c r="R153" s="184" t="s">
        <v>23</v>
      </c>
      <c r="S153" s="184" t="s">
        <v>23</v>
      </c>
      <c r="T153" s="184" t="s">
        <v>23</v>
      </c>
      <c r="U153" s="184" t="s">
        <v>92</v>
      </c>
      <c r="V153" s="188"/>
      <c r="W153" s="188"/>
      <c r="X153" s="188"/>
      <c r="Y153" s="188"/>
      <c r="Z153" s="188"/>
      <c r="AA153" s="188"/>
      <c r="AB153" s="188"/>
      <c r="AC153" s="188"/>
      <c r="AD153" s="188"/>
      <c r="AE153" s="188"/>
    </row>
    <row r="154" hidden="1">
      <c r="A154" s="67" t="s">
        <v>687</v>
      </c>
      <c r="B154" s="189">
        <v>37.0</v>
      </c>
      <c r="C154" s="190"/>
      <c r="D154" s="190"/>
      <c r="E154" s="191"/>
      <c r="F154" s="191"/>
      <c r="G154" s="190"/>
      <c r="H154" s="190"/>
      <c r="I154" s="190"/>
      <c r="J154" s="190"/>
      <c r="K154" s="189" t="s">
        <v>131</v>
      </c>
      <c r="L154" s="189">
        <v>1.0</v>
      </c>
      <c r="M154" s="190"/>
      <c r="N154" s="190"/>
      <c r="O154" s="190"/>
      <c r="P154" s="190"/>
      <c r="Q154" s="189" t="s">
        <v>23</v>
      </c>
      <c r="R154" s="189" t="s">
        <v>23</v>
      </c>
      <c r="S154" s="190"/>
      <c r="T154" s="190"/>
      <c r="U154" s="190"/>
      <c r="V154" s="192"/>
      <c r="W154" s="192"/>
      <c r="X154" s="192"/>
      <c r="Y154" s="192"/>
      <c r="Z154" s="192"/>
      <c r="AA154" s="192"/>
      <c r="AB154" s="192"/>
      <c r="AC154" s="192"/>
      <c r="AD154" s="192"/>
      <c r="AE154" s="192"/>
    </row>
    <row r="155" hidden="1">
      <c r="A155" s="66" t="s">
        <v>688</v>
      </c>
      <c r="B155" s="193">
        <v>37.0</v>
      </c>
      <c r="C155" s="194"/>
      <c r="D155" s="194"/>
      <c r="E155" s="195"/>
      <c r="F155" s="195"/>
      <c r="G155" s="194"/>
      <c r="H155" s="194"/>
      <c r="I155" s="194"/>
      <c r="J155" s="194"/>
      <c r="K155" s="193" t="s">
        <v>124</v>
      </c>
      <c r="L155" s="193">
        <v>1.0</v>
      </c>
      <c r="M155" s="193">
        <v>1.0</v>
      </c>
      <c r="N155" s="194"/>
      <c r="O155" s="194"/>
      <c r="P155" s="194"/>
      <c r="Q155" s="193" t="s">
        <v>23</v>
      </c>
      <c r="R155" s="193" t="s">
        <v>23</v>
      </c>
      <c r="S155" s="194"/>
      <c r="T155" s="194"/>
      <c r="U155" s="194"/>
      <c r="V155" s="196"/>
      <c r="W155" s="196"/>
      <c r="X155" s="196"/>
      <c r="Y155" s="196"/>
      <c r="Z155" s="196"/>
      <c r="AA155" s="196"/>
      <c r="AB155" s="196"/>
      <c r="AC155" s="196"/>
      <c r="AD155" s="196"/>
      <c r="AE155" s="196"/>
    </row>
    <row r="156" hidden="1">
      <c r="A156" s="67" t="s">
        <v>689</v>
      </c>
      <c r="B156" s="189">
        <v>37.0</v>
      </c>
      <c r="C156" s="190"/>
      <c r="D156" s="190"/>
      <c r="E156" s="191"/>
      <c r="F156" s="191"/>
      <c r="G156" s="190"/>
      <c r="H156" s="190"/>
      <c r="I156" s="190"/>
      <c r="J156" s="190"/>
      <c r="K156" s="189" t="s">
        <v>96</v>
      </c>
      <c r="L156" s="189">
        <v>1.0</v>
      </c>
      <c r="M156" s="190"/>
      <c r="N156" s="190"/>
      <c r="O156" s="190"/>
      <c r="P156" s="190"/>
      <c r="Q156" s="189" t="s">
        <v>23</v>
      </c>
      <c r="R156" s="189" t="s">
        <v>23</v>
      </c>
      <c r="S156" s="190"/>
      <c r="T156" s="190"/>
      <c r="U156" s="190"/>
      <c r="V156" s="192"/>
      <c r="W156" s="192"/>
      <c r="X156" s="192"/>
      <c r="Y156" s="192"/>
      <c r="Z156" s="192"/>
      <c r="AA156" s="192"/>
      <c r="AB156" s="192"/>
      <c r="AC156" s="192"/>
      <c r="AD156" s="192"/>
      <c r="AE156" s="192"/>
    </row>
    <row r="157" hidden="1">
      <c r="A157" s="66" t="s">
        <v>690</v>
      </c>
      <c r="B157" s="193">
        <v>37.0</v>
      </c>
      <c r="C157" s="194"/>
      <c r="D157" s="194"/>
      <c r="E157" s="195"/>
      <c r="F157" s="195"/>
      <c r="G157" s="194"/>
      <c r="H157" s="194"/>
      <c r="I157" s="194"/>
      <c r="J157" s="194"/>
      <c r="K157" s="193" t="s">
        <v>103</v>
      </c>
      <c r="L157" s="193">
        <v>1.0</v>
      </c>
      <c r="M157" s="193">
        <v>1.0</v>
      </c>
      <c r="N157" s="194"/>
      <c r="O157" s="194"/>
      <c r="P157" s="194"/>
      <c r="Q157" s="193" t="s">
        <v>23</v>
      </c>
      <c r="R157" s="193" t="s">
        <v>23</v>
      </c>
      <c r="S157" s="194"/>
      <c r="T157" s="194"/>
      <c r="U157" s="194"/>
      <c r="V157" s="196"/>
      <c r="W157" s="196"/>
      <c r="X157" s="196"/>
      <c r="Y157" s="196"/>
      <c r="Z157" s="196"/>
      <c r="AA157" s="196"/>
      <c r="AB157" s="196"/>
      <c r="AC157" s="196"/>
      <c r="AD157" s="196"/>
      <c r="AE157" s="196"/>
    </row>
    <row r="158" hidden="1">
      <c r="A158" s="66" t="s">
        <v>691</v>
      </c>
      <c r="B158" s="193">
        <v>37.0</v>
      </c>
      <c r="C158" s="194"/>
      <c r="D158" s="194"/>
      <c r="E158" s="195"/>
      <c r="F158" s="195"/>
      <c r="G158" s="194"/>
      <c r="H158" s="194"/>
      <c r="I158" s="194"/>
      <c r="J158" s="194"/>
      <c r="K158" s="193" t="s">
        <v>112</v>
      </c>
      <c r="L158" s="193">
        <v>1.0</v>
      </c>
      <c r="M158" s="193">
        <v>1.0</v>
      </c>
      <c r="N158" s="194"/>
      <c r="O158" s="194"/>
      <c r="P158" s="194"/>
      <c r="Q158" s="193" t="s">
        <v>23</v>
      </c>
      <c r="R158" s="193" t="s">
        <v>23</v>
      </c>
      <c r="S158" s="194"/>
      <c r="T158" s="194"/>
      <c r="U158" s="194"/>
      <c r="V158" s="196"/>
      <c r="W158" s="196"/>
      <c r="X158" s="196"/>
      <c r="Y158" s="196"/>
      <c r="Z158" s="196"/>
      <c r="AA158" s="196"/>
      <c r="AB158" s="196"/>
      <c r="AC158" s="196"/>
      <c r="AD158" s="196"/>
      <c r="AE158" s="196"/>
    </row>
    <row r="159" hidden="1">
      <c r="A159" s="67" t="s">
        <v>692</v>
      </c>
      <c r="B159" s="189">
        <v>37.0</v>
      </c>
      <c r="C159" s="190"/>
      <c r="D159" s="190"/>
      <c r="E159" s="191"/>
      <c r="F159" s="191"/>
      <c r="G159" s="190"/>
      <c r="H159" s="190"/>
      <c r="I159" s="190"/>
      <c r="J159" s="190"/>
      <c r="K159" s="189" t="s">
        <v>111</v>
      </c>
      <c r="L159" s="189">
        <v>1.0</v>
      </c>
      <c r="M159" s="190"/>
      <c r="N159" s="190"/>
      <c r="O159" s="190"/>
      <c r="P159" s="190"/>
      <c r="Q159" s="189" t="s">
        <v>23</v>
      </c>
      <c r="R159" s="189" t="s">
        <v>23</v>
      </c>
      <c r="S159" s="190"/>
      <c r="T159" s="190"/>
      <c r="U159" s="190"/>
      <c r="V159" s="192"/>
      <c r="W159" s="192"/>
      <c r="X159" s="192"/>
      <c r="Y159" s="192"/>
      <c r="Z159" s="192"/>
      <c r="AA159" s="192"/>
      <c r="AB159" s="192"/>
      <c r="AC159" s="192"/>
      <c r="AD159" s="192"/>
      <c r="AE159" s="192"/>
    </row>
    <row r="160" hidden="1">
      <c r="A160" s="67" t="s">
        <v>693</v>
      </c>
      <c r="B160" s="189">
        <v>37.0</v>
      </c>
      <c r="C160" s="190"/>
      <c r="D160" s="190"/>
      <c r="E160" s="191"/>
      <c r="F160" s="191"/>
      <c r="G160" s="190"/>
      <c r="H160" s="190"/>
      <c r="I160" s="190"/>
      <c r="J160" s="190"/>
      <c r="K160" s="189" t="s">
        <v>100</v>
      </c>
      <c r="L160" s="189">
        <v>1.0</v>
      </c>
      <c r="M160" s="190"/>
      <c r="N160" s="190"/>
      <c r="O160" s="190"/>
      <c r="P160" s="190"/>
      <c r="Q160" s="189" t="s">
        <v>23</v>
      </c>
      <c r="R160" s="189" t="s">
        <v>23</v>
      </c>
      <c r="S160" s="190"/>
      <c r="T160" s="190"/>
      <c r="U160" s="190"/>
      <c r="V160" s="192"/>
      <c r="W160" s="192"/>
      <c r="X160" s="192"/>
      <c r="Y160" s="192"/>
      <c r="Z160" s="192"/>
      <c r="AA160" s="192"/>
      <c r="AB160" s="192"/>
      <c r="AC160" s="192"/>
      <c r="AD160" s="192"/>
      <c r="AE160" s="192"/>
    </row>
    <row r="161" hidden="1">
      <c r="A161" s="66" t="s">
        <v>694</v>
      </c>
      <c r="B161" s="193">
        <v>37.0</v>
      </c>
      <c r="C161" s="194"/>
      <c r="D161" s="194"/>
      <c r="E161" s="195"/>
      <c r="F161" s="195"/>
      <c r="G161" s="194"/>
      <c r="H161" s="194"/>
      <c r="I161" s="194"/>
      <c r="J161" s="194"/>
      <c r="K161" s="193" t="s">
        <v>82</v>
      </c>
      <c r="L161" s="193">
        <v>1.0</v>
      </c>
      <c r="M161" s="193">
        <v>1.0</v>
      </c>
      <c r="N161" s="194"/>
      <c r="O161" s="194"/>
      <c r="P161" s="194"/>
      <c r="Q161" s="193" t="s">
        <v>23</v>
      </c>
      <c r="R161" s="193" t="s">
        <v>23</v>
      </c>
      <c r="S161" s="194"/>
      <c r="T161" s="194"/>
      <c r="U161" s="194"/>
      <c r="V161" s="196"/>
      <c r="W161" s="196"/>
      <c r="X161" s="196"/>
      <c r="Y161" s="196"/>
      <c r="Z161" s="196"/>
      <c r="AA161" s="196"/>
      <c r="AB161" s="196"/>
      <c r="AC161" s="196"/>
      <c r="AD161" s="196"/>
      <c r="AE161" s="196"/>
    </row>
    <row r="162" hidden="1">
      <c r="A162" s="66" t="s">
        <v>695</v>
      </c>
      <c r="B162" s="193">
        <v>37.0</v>
      </c>
      <c r="C162" s="194"/>
      <c r="D162" s="194"/>
      <c r="E162" s="195"/>
      <c r="F162" s="195"/>
      <c r="G162" s="194"/>
      <c r="H162" s="194"/>
      <c r="I162" s="194"/>
      <c r="J162" s="194"/>
      <c r="K162" s="193" t="s">
        <v>69</v>
      </c>
      <c r="L162" s="193">
        <v>1.0</v>
      </c>
      <c r="M162" s="193">
        <v>1.0</v>
      </c>
      <c r="N162" s="194"/>
      <c r="O162" s="194"/>
      <c r="P162" s="194"/>
      <c r="Q162" s="193" t="s">
        <v>23</v>
      </c>
      <c r="R162" s="193" t="s">
        <v>23</v>
      </c>
      <c r="S162" s="193">
        <v>1.0</v>
      </c>
      <c r="T162" s="194"/>
      <c r="U162" s="194"/>
      <c r="V162" s="196"/>
      <c r="W162" s="196"/>
      <c r="X162" s="196"/>
      <c r="Y162" s="196"/>
      <c r="Z162" s="196"/>
      <c r="AA162" s="196"/>
      <c r="AB162" s="196"/>
      <c r="AC162" s="196"/>
      <c r="AD162" s="196"/>
      <c r="AE162" s="196"/>
    </row>
    <row r="163" hidden="1">
      <c r="A163" s="66" t="s">
        <v>696</v>
      </c>
      <c r="B163" s="193">
        <v>37.0</v>
      </c>
      <c r="C163" s="194"/>
      <c r="D163" s="194"/>
      <c r="E163" s="195"/>
      <c r="F163" s="195"/>
      <c r="G163" s="194"/>
      <c r="H163" s="194"/>
      <c r="I163" s="194"/>
      <c r="J163" s="194"/>
      <c r="K163" s="193" t="s">
        <v>86</v>
      </c>
      <c r="L163" s="193">
        <v>1.0</v>
      </c>
      <c r="M163" s="193">
        <v>1.0</v>
      </c>
      <c r="N163" s="194"/>
      <c r="O163" s="194"/>
      <c r="P163" s="194"/>
      <c r="Q163" s="193" t="s">
        <v>23</v>
      </c>
      <c r="R163" s="193" t="s">
        <v>23</v>
      </c>
      <c r="S163" s="194"/>
      <c r="T163" s="194"/>
      <c r="U163" s="194"/>
      <c r="V163" s="196"/>
      <c r="W163" s="196"/>
      <c r="X163" s="196"/>
      <c r="Y163" s="196"/>
      <c r="Z163" s="196"/>
      <c r="AA163" s="196"/>
      <c r="AB163" s="196"/>
      <c r="AC163" s="196"/>
      <c r="AD163" s="196"/>
      <c r="AE163" s="196"/>
    </row>
    <row r="164" hidden="1">
      <c r="A164" s="67" t="s">
        <v>697</v>
      </c>
      <c r="B164" s="189">
        <v>37.0</v>
      </c>
      <c r="C164" s="190"/>
      <c r="D164" s="190"/>
      <c r="E164" s="191"/>
      <c r="F164" s="191"/>
      <c r="G164" s="190"/>
      <c r="H164" s="190"/>
      <c r="I164" s="190"/>
      <c r="J164" s="190"/>
      <c r="K164" s="189" t="s">
        <v>63</v>
      </c>
      <c r="L164" s="189">
        <v>1.0</v>
      </c>
      <c r="M164" s="190"/>
      <c r="N164" s="190"/>
      <c r="O164" s="190"/>
      <c r="P164" s="190"/>
      <c r="Q164" s="189" t="s">
        <v>23</v>
      </c>
      <c r="R164" s="189" t="s">
        <v>23</v>
      </c>
      <c r="S164" s="190"/>
      <c r="T164" s="190"/>
      <c r="U164" s="190"/>
      <c r="V164" s="192"/>
      <c r="W164" s="192"/>
      <c r="X164" s="192"/>
      <c r="Y164" s="192"/>
      <c r="Z164" s="192"/>
      <c r="AA164" s="192"/>
      <c r="AB164" s="192"/>
      <c r="AC164" s="192"/>
      <c r="AD164" s="192"/>
      <c r="AE164" s="192"/>
    </row>
    <row r="165" hidden="1">
      <c r="A165" s="67" t="s">
        <v>698</v>
      </c>
      <c r="B165" s="189">
        <v>37.0</v>
      </c>
      <c r="C165" s="190"/>
      <c r="D165" s="190"/>
      <c r="E165" s="191"/>
      <c r="F165" s="191"/>
      <c r="G165" s="190"/>
      <c r="H165" s="190"/>
      <c r="I165" s="190"/>
      <c r="J165" s="190"/>
      <c r="K165" s="189" t="s">
        <v>71</v>
      </c>
      <c r="L165" s="189">
        <v>1.0</v>
      </c>
      <c r="M165" s="190"/>
      <c r="N165" s="190"/>
      <c r="O165" s="190"/>
      <c r="P165" s="190"/>
      <c r="Q165" s="189" t="s">
        <v>23</v>
      </c>
      <c r="R165" s="189" t="s">
        <v>23</v>
      </c>
      <c r="S165" s="190"/>
      <c r="T165" s="190"/>
      <c r="U165" s="190"/>
      <c r="V165" s="192"/>
      <c r="W165" s="192"/>
      <c r="X165" s="192"/>
      <c r="Y165" s="192"/>
      <c r="Z165" s="192"/>
      <c r="AA165" s="192"/>
      <c r="AB165" s="192"/>
      <c r="AC165" s="192"/>
      <c r="AD165" s="192"/>
      <c r="AE165" s="192"/>
    </row>
    <row r="166" hidden="1">
      <c r="A166" s="67" t="s">
        <v>699</v>
      </c>
      <c r="B166" s="189">
        <v>37.0</v>
      </c>
      <c r="C166" s="190"/>
      <c r="D166" s="190"/>
      <c r="E166" s="191"/>
      <c r="F166" s="191"/>
      <c r="G166" s="190"/>
      <c r="H166" s="190"/>
      <c r="I166" s="190"/>
      <c r="J166" s="190"/>
      <c r="K166" s="189" t="s">
        <v>44</v>
      </c>
      <c r="L166" s="189">
        <v>1.0</v>
      </c>
      <c r="M166" s="190"/>
      <c r="N166" s="190"/>
      <c r="O166" s="190"/>
      <c r="P166" s="190"/>
      <c r="Q166" s="189" t="s">
        <v>23</v>
      </c>
      <c r="R166" s="189" t="s">
        <v>23</v>
      </c>
      <c r="S166" s="190"/>
      <c r="T166" s="190"/>
      <c r="U166" s="190"/>
      <c r="V166" s="192"/>
      <c r="W166" s="192"/>
      <c r="X166" s="192"/>
      <c r="Y166" s="192"/>
      <c r="Z166" s="192"/>
      <c r="AA166" s="192"/>
      <c r="AB166" s="192"/>
      <c r="AC166" s="192"/>
      <c r="AD166" s="192"/>
      <c r="AE166" s="192"/>
    </row>
    <row r="167" hidden="1">
      <c r="A167" s="67" t="s">
        <v>700</v>
      </c>
      <c r="B167" s="189">
        <v>37.0</v>
      </c>
      <c r="C167" s="190"/>
      <c r="D167" s="190"/>
      <c r="E167" s="191"/>
      <c r="F167" s="191"/>
      <c r="G167" s="190"/>
      <c r="H167" s="190"/>
      <c r="I167" s="190"/>
      <c r="J167" s="190"/>
      <c r="K167" s="189" t="s">
        <v>1233</v>
      </c>
      <c r="L167" s="189">
        <v>1.0</v>
      </c>
      <c r="M167" s="190"/>
      <c r="N167" s="190"/>
      <c r="O167" s="190"/>
      <c r="P167" s="190"/>
      <c r="Q167" s="189" t="s">
        <v>23</v>
      </c>
      <c r="R167" s="189" t="s">
        <v>23</v>
      </c>
      <c r="S167" s="190"/>
      <c r="T167" s="190"/>
      <c r="U167" s="190"/>
      <c r="V167" s="192"/>
      <c r="W167" s="192"/>
      <c r="X167" s="192"/>
      <c r="Y167" s="192"/>
      <c r="Z167" s="192"/>
      <c r="AA167" s="192"/>
      <c r="AB167" s="192"/>
      <c r="AC167" s="192"/>
      <c r="AD167" s="192"/>
      <c r="AE167" s="192"/>
    </row>
    <row r="168" hidden="1">
      <c r="A168" s="66" t="s">
        <v>701</v>
      </c>
      <c r="B168" s="193">
        <v>37.0</v>
      </c>
      <c r="C168" s="194"/>
      <c r="D168" s="194"/>
      <c r="E168" s="195"/>
      <c r="F168" s="195"/>
      <c r="G168" s="194"/>
      <c r="H168" s="194"/>
      <c r="I168" s="194"/>
      <c r="J168" s="194"/>
      <c r="K168" s="193" t="s">
        <v>67</v>
      </c>
      <c r="L168" s="193">
        <v>1.0</v>
      </c>
      <c r="M168" s="193">
        <v>1.0</v>
      </c>
      <c r="N168" s="194"/>
      <c r="O168" s="194"/>
      <c r="P168" s="194"/>
      <c r="Q168" s="193" t="s">
        <v>23</v>
      </c>
      <c r="R168" s="193" t="s">
        <v>23</v>
      </c>
      <c r="S168" s="194"/>
      <c r="T168" s="194"/>
      <c r="U168" s="194"/>
      <c r="V168" s="196"/>
      <c r="W168" s="196"/>
      <c r="X168" s="196"/>
      <c r="Y168" s="196"/>
      <c r="Z168" s="196"/>
      <c r="AA168" s="196"/>
      <c r="AB168" s="196"/>
      <c r="AC168" s="196"/>
      <c r="AD168" s="196"/>
      <c r="AE168" s="196"/>
    </row>
    <row r="169" hidden="1">
      <c r="A169" s="66" t="s">
        <v>702</v>
      </c>
      <c r="B169" s="193">
        <v>37.0</v>
      </c>
      <c r="C169" s="194"/>
      <c r="D169" s="194"/>
      <c r="E169" s="195"/>
      <c r="F169" s="195"/>
      <c r="G169" s="194"/>
      <c r="H169" s="194"/>
      <c r="I169" s="194"/>
      <c r="J169" s="194"/>
      <c r="K169" s="193" t="s">
        <v>55</v>
      </c>
      <c r="L169" s="193">
        <v>1.0</v>
      </c>
      <c r="M169" s="193">
        <v>1.0</v>
      </c>
      <c r="N169" s="194"/>
      <c r="O169" s="194"/>
      <c r="P169" s="194"/>
      <c r="Q169" s="193" t="s">
        <v>23</v>
      </c>
      <c r="R169" s="193" t="s">
        <v>23</v>
      </c>
      <c r="S169" s="194"/>
      <c r="T169" s="194"/>
      <c r="U169" s="194"/>
      <c r="V169" s="196"/>
      <c r="W169" s="196"/>
      <c r="X169" s="196"/>
      <c r="Y169" s="196"/>
      <c r="Z169" s="196"/>
      <c r="AA169" s="196"/>
      <c r="AB169" s="196"/>
      <c r="AC169" s="196"/>
      <c r="AD169" s="196"/>
      <c r="AE169" s="196"/>
    </row>
    <row r="170" hidden="1">
      <c r="A170" s="66" t="s">
        <v>703</v>
      </c>
      <c r="B170" s="193">
        <v>37.0</v>
      </c>
      <c r="C170" s="194"/>
      <c r="D170" s="194"/>
      <c r="E170" s="195"/>
      <c r="F170" s="195"/>
      <c r="G170" s="194"/>
      <c r="H170" s="194"/>
      <c r="I170" s="194"/>
      <c r="J170" s="193" t="s">
        <v>33</v>
      </c>
      <c r="K170" s="193" t="s">
        <v>62</v>
      </c>
      <c r="L170" s="193">
        <v>1.0</v>
      </c>
      <c r="M170" s="193">
        <v>1.0</v>
      </c>
      <c r="N170" s="194"/>
      <c r="O170" s="194"/>
      <c r="P170" s="194"/>
      <c r="Q170" s="193" t="s">
        <v>23</v>
      </c>
      <c r="R170" s="193" t="s">
        <v>23</v>
      </c>
      <c r="S170" s="194"/>
      <c r="T170" s="194"/>
      <c r="U170" s="194"/>
      <c r="V170" s="196"/>
      <c r="W170" s="196"/>
      <c r="X170" s="196"/>
      <c r="Y170" s="196"/>
      <c r="Z170" s="196"/>
      <c r="AA170" s="196"/>
      <c r="AB170" s="196"/>
      <c r="AC170" s="196"/>
      <c r="AD170" s="196"/>
      <c r="AE170" s="196"/>
    </row>
    <row r="171" hidden="1">
      <c r="A171" s="66" t="s">
        <v>704</v>
      </c>
      <c r="B171" s="193">
        <v>37.0</v>
      </c>
      <c r="C171" s="194"/>
      <c r="D171" s="194"/>
      <c r="E171" s="195"/>
      <c r="F171" s="195"/>
      <c r="G171" s="194"/>
      <c r="H171" s="194"/>
      <c r="I171" s="194"/>
      <c r="J171" s="193" t="s">
        <v>31</v>
      </c>
      <c r="K171" s="193" t="s">
        <v>39</v>
      </c>
      <c r="L171" s="193">
        <v>1.0</v>
      </c>
      <c r="M171" s="193">
        <v>1.0</v>
      </c>
      <c r="N171" s="194"/>
      <c r="O171" s="194"/>
      <c r="P171" s="194"/>
      <c r="Q171" s="193" t="s">
        <v>23</v>
      </c>
      <c r="R171" s="193" t="s">
        <v>23</v>
      </c>
      <c r="S171" s="194"/>
      <c r="T171" s="194"/>
      <c r="U171" s="194"/>
      <c r="V171" s="196"/>
      <c r="W171" s="196"/>
      <c r="X171" s="196"/>
      <c r="Y171" s="196"/>
      <c r="Z171" s="196"/>
      <c r="AA171" s="196"/>
      <c r="AB171" s="196"/>
      <c r="AC171" s="196"/>
      <c r="AD171" s="196"/>
      <c r="AE171" s="196"/>
    </row>
    <row r="172" hidden="1">
      <c r="A172" s="67" t="s">
        <v>97</v>
      </c>
      <c r="B172" s="189">
        <v>37.0</v>
      </c>
      <c r="C172" s="190"/>
      <c r="D172" s="190"/>
      <c r="E172" s="191"/>
      <c r="F172" s="191"/>
      <c r="G172" s="190"/>
      <c r="H172" s="190"/>
      <c r="I172" s="190"/>
      <c r="J172" s="189" t="s">
        <v>28</v>
      </c>
      <c r="K172" s="189" t="s">
        <v>36</v>
      </c>
      <c r="L172" s="189">
        <v>1.0</v>
      </c>
      <c r="M172" s="190"/>
      <c r="N172" s="190"/>
      <c r="O172" s="190"/>
      <c r="P172" s="190"/>
      <c r="Q172" s="189" t="s">
        <v>23</v>
      </c>
      <c r="R172" s="189" t="s">
        <v>23</v>
      </c>
      <c r="S172" s="190"/>
      <c r="T172" s="190"/>
      <c r="U172" s="190"/>
      <c r="V172" s="192"/>
      <c r="W172" s="192"/>
      <c r="X172" s="192"/>
      <c r="Y172" s="192"/>
      <c r="Z172" s="192"/>
      <c r="AA172" s="192"/>
      <c r="AB172" s="192"/>
      <c r="AC172" s="192"/>
      <c r="AD172" s="192"/>
      <c r="AE172" s="192"/>
    </row>
    <row r="173" hidden="1">
      <c r="A173" s="197" t="s">
        <v>707</v>
      </c>
      <c r="B173" s="198">
        <v>38.0</v>
      </c>
      <c r="C173" s="199"/>
      <c r="D173" s="199"/>
      <c r="E173" s="200"/>
      <c r="F173" s="200"/>
      <c r="G173" s="198" t="s">
        <v>1234</v>
      </c>
      <c r="H173" s="199"/>
      <c r="I173" s="199"/>
      <c r="J173" s="199"/>
      <c r="K173" s="199"/>
      <c r="L173" s="199"/>
      <c r="M173" s="198" t="s">
        <v>23</v>
      </c>
      <c r="N173" s="198" t="s">
        <v>23</v>
      </c>
      <c r="O173" s="198">
        <v>1.0</v>
      </c>
      <c r="P173" s="198" t="s">
        <v>23</v>
      </c>
      <c r="Q173" s="198" t="s">
        <v>23</v>
      </c>
      <c r="R173" s="198">
        <v>1.0</v>
      </c>
      <c r="S173" s="198" t="s">
        <v>23</v>
      </c>
      <c r="T173" s="199"/>
      <c r="U173" s="198" t="s">
        <v>23</v>
      </c>
      <c r="V173" s="201"/>
      <c r="W173" s="201"/>
      <c r="X173" s="201"/>
      <c r="Y173" s="201"/>
      <c r="Z173" s="201"/>
      <c r="AA173" s="201"/>
      <c r="AB173" s="201"/>
      <c r="AC173" s="201"/>
      <c r="AD173" s="201"/>
      <c r="AE173" s="201"/>
    </row>
    <row r="174" hidden="1">
      <c r="A174" s="197" t="s">
        <v>705</v>
      </c>
      <c r="B174" s="198">
        <v>38.0</v>
      </c>
      <c r="C174" s="199"/>
      <c r="D174" s="199"/>
      <c r="E174" s="200"/>
      <c r="F174" s="200"/>
      <c r="G174" s="199"/>
      <c r="H174" s="199"/>
      <c r="I174" s="199"/>
      <c r="J174" s="199"/>
      <c r="K174" s="199"/>
      <c r="L174" s="199"/>
      <c r="M174" s="199"/>
      <c r="N174" s="199"/>
      <c r="O174" s="198">
        <v>1.0</v>
      </c>
      <c r="P174" s="198" t="s">
        <v>23</v>
      </c>
      <c r="Q174" s="198" t="s">
        <v>23</v>
      </c>
      <c r="R174" s="199"/>
      <c r="S174" s="199"/>
      <c r="T174" s="199"/>
      <c r="U174" s="199"/>
      <c r="V174" s="201"/>
      <c r="W174" s="201"/>
      <c r="X174" s="201"/>
      <c r="Y174" s="201"/>
      <c r="Z174" s="201"/>
      <c r="AA174" s="201"/>
      <c r="AB174" s="201"/>
      <c r="AC174" s="201"/>
      <c r="AD174" s="201"/>
      <c r="AE174" s="201"/>
    </row>
    <row r="175" hidden="1">
      <c r="A175" s="202" t="s">
        <v>168</v>
      </c>
      <c r="B175" s="180">
        <v>38.0</v>
      </c>
      <c r="C175" s="203"/>
      <c r="D175" s="203"/>
      <c r="E175" s="182"/>
      <c r="F175" s="182"/>
      <c r="G175" s="203"/>
      <c r="H175" s="203"/>
      <c r="I175" s="203"/>
      <c r="J175" s="203"/>
      <c r="K175" s="203"/>
      <c r="L175" s="180">
        <v>1.0</v>
      </c>
      <c r="M175" s="180">
        <v>1.0</v>
      </c>
      <c r="N175" s="203"/>
      <c r="O175" s="203"/>
      <c r="P175" s="180" t="s">
        <v>23</v>
      </c>
      <c r="Q175" s="180" t="s">
        <v>23</v>
      </c>
      <c r="R175" s="203"/>
      <c r="S175" s="203"/>
      <c r="T175" s="203"/>
      <c r="U175" s="203"/>
      <c r="V175" s="204"/>
      <c r="W175" s="204"/>
      <c r="X175" s="204"/>
      <c r="Y175" s="204"/>
      <c r="Z175" s="204"/>
      <c r="AA175" s="204"/>
      <c r="AB175" s="204"/>
      <c r="AC175" s="204"/>
      <c r="AD175" s="204"/>
      <c r="AE175" s="204"/>
    </row>
    <row r="176" hidden="1">
      <c r="A176" s="197" t="s">
        <v>706</v>
      </c>
      <c r="B176" s="198">
        <v>38.0</v>
      </c>
      <c r="C176" s="199"/>
      <c r="D176" s="199"/>
      <c r="E176" s="200"/>
      <c r="F176" s="200"/>
      <c r="G176" s="199"/>
      <c r="H176" s="199"/>
      <c r="I176" s="199"/>
      <c r="J176" s="199"/>
      <c r="K176" s="199"/>
      <c r="L176" s="199"/>
      <c r="M176" s="199"/>
      <c r="N176" s="199"/>
      <c r="O176" s="198">
        <v>1.0</v>
      </c>
      <c r="P176" s="198" t="s">
        <v>23</v>
      </c>
      <c r="Q176" s="198" t="s">
        <v>23</v>
      </c>
      <c r="R176" s="199"/>
      <c r="S176" s="199"/>
      <c r="T176" s="199"/>
      <c r="U176" s="199"/>
      <c r="V176" s="201"/>
      <c r="W176" s="201"/>
      <c r="X176" s="201"/>
      <c r="Y176" s="201"/>
      <c r="Z176" s="201"/>
      <c r="AA176" s="201"/>
      <c r="AB176" s="201"/>
      <c r="AC176" s="201"/>
      <c r="AD176" s="201"/>
      <c r="AE176" s="201"/>
    </row>
    <row r="177" hidden="1">
      <c r="A177" s="202" t="s">
        <v>222</v>
      </c>
      <c r="B177" s="180">
        <v>38.0</v>
      </c>
      <c r="C177" s="203"/>
      <c r="D177" s="203"/>
      <c r="E177" s="182"/>
      <c r="F177" s="182"/>
      <c r="G177" s="203"/>
      <c r="H177" s="203"/>
      <c r="I177" s="203"/>
      <c r="J177" s="203"/>
      <c r="K177" s="203"/>
      <c r="L177" s="180">
        <v>1.0</v>
      </c>
      <c r="M177" s="180">
        <v>1.0</v>
      </c>
      <c r="N177" s="203"/>
      <c r="O177" s="203"/>
      <c r="P177" s="180" t="s">
        <v>23</v>
      </c>
      <c r="Q177" s="180" t="s">
        <v>23</v>
      </c>
      <c r="R177" s="203"/>
      <c r="S177" s="203"/>
      <c r="T177" s="203"/>
      <c r="U177" s="203"/>
      <c r="V177" s="204"/>
      <c r="W177" s="204"/>
      <c r="X177" s="204"/>
      <c r="Y177" s="204"/>
      <c r="Z177" s="204"/>
      <c r="AA177" s="204"/>
      <c r="AB177" s="204"/>
      <c r="AC177" s="204"/>
      <c r="AD177" s="204"/>
      <c r="AE177" s="204"/>
    </row>
    <row r="178" hidden="1">
      <c r="A178" s="202" t="s">
        <v>708</v>
      </c>
      <c r="B178" s="180">
        <v>38.0</v>
      </c>
      <c r="C178" s="203"/>
      <c r="D178" s="203"/>
      <c r="E178" s="182"/>
      <c r="F178" s="182"/>
      <c r="G178" s="203"/>
      <c r="H178" s="203"/>
      <c r="I178" s="203"/>
      <c r="J178" s="203"/>
      <c r="K178" s="203"/>
      <c r="L178" s="180">
        <v>1.0</v>
      </c>
      <c r="M178" s="180">
        <v>1.0</v>
      </c>
      <c r="N178" s="203"/>
      <c r="O178" s="203"/>
      <c r="P178" s="180" t="s">
        <v>23</v>
      </c>
      <c r="Q178" s="180" t="s">
        <v>23</v>
      </c>
      <c r="R178" s="203"/>
      <c r="S178" s="203"/>
      <c r="T178" s="203"/>
      <c r="U178" s="203"/>
      <c r="V178" s="204"/>
      <c r="W178" s="204"/>
      <c r="X178" s="204"/>
      <c r="Y178" s="204"/>
      <c r="Z178" s="204"/>
      <c r="AA178" s="204"/>
      <c r="AB178" s="204"/>
      <c r="AC178" s="204"/>
      <c r="AD178" s="204"/>
      <c r="AE178" s="204"/>
    </row>
    <row r="179" hidden="1">
      <c r="A179" s="202" t="s">
        <v>709</v>
      </c>
      <c r="B179" s="180">
        <v>38.0</v>
      </c>
      <c r="C179" s="203"/>
      <c r="D179" s="203"/>
      <c r="E179" s="182"/>
      <c r="F179" s="182"/>
      <c r="G179" s="203"/>
      <c r="H179" s="180">
        <v>1.0</v>
      </c>
      <c r="I179" s="203"/>
      <c r="J179" s="203"/>
      <c r="K179" s="203"/>
      <c r="L179" s="180">
        <v>1.0</v>
      </c>
      <c r="M179" s="180">
        <v>1.0</v>
      </c>
      <c r="N179" s="203"/>
      <c r="O179" s="203"/>
      <c r="P179" s="180" t="s">
        <v>23</v>
      </c>
      <c r="Q179" s="180" t="s">
        <v>23</v>
      </c>
      <c r="R179" s="203"/>
      <c r="S179" s="203"/>
      <c r="T179" s="203"/>
      <c r="U179" s="203"/>
      <c r="V179" s="204"/>
      <c r="W179" s="204"/>
      <c r="X179" s="204"/>
      <c r="Y179" s="204"/>
      <c r="Z179" s="204"/>
      <c r="AA179" s="204"/>
      <c r="AB179" s="204"/>
      <c r="AC179" s="204"/>
      <c r="AD179" s="204"/>
      <c r="AE179" s="204"/>
    </row>
    <row r="180" hidden="1">
      <c r="A180" s="197" t="s">
        <v>197</v>
      </c>
      <c r="B180" s="198">
        <v>38.0</v>
      </c>
      <c r="C180" s="199"/>
      <c r="D180" s="199"/>
      <c r="E180" s="200"/>
      <c r="F180" s="200"/>
      <c r="G180" s="199"/>
      <c r="H180" s="199"/>
      <c r="I180" s="199"/>
      <c r="J180" s="199"/>
      <c r="K180" s="199"/>
      <c r="L180" s="199"/>
      <c r="M180" s="199"/>
      <c r="N180" s="199"/>
      <c r="O180" s="198">
        <v>1.0</v>
      </c>
      <c r="P180" s="198" t="s">
        <v>23</v>
      </c>
      <c r="Q180" s="198" t="s">
        <v>23</v>
      </c>
      <c r="R180" s="199"/>
      <c r="S180" s="199"/>
      <c r="T180" s="199"/>
      <c r="U180" s="199"/>
      <c r="V180" s="201"/>
      <c r="W180" s="201"/>
      <c r="X180" s="201"/>
      <c r="Y180" s="201"/>
      <c r="Z180" s="201"/>
      <c r="AA180" s="201"/>
      <c r="AB180" s="201"/>
      <c r="AC180" s="201"/>
      <c r="AD180" s="201"/>
      <c r="AE180" s="201"/>
    </row>
    <row r="181" hidden="1">
      <c r="A181" s="197" t="s">
        <v>236</v>
      </c>
      <c r="B181" s="198">
        <v>38.0</v>
      </c>
      <c r="C181" s="199"/>
      <c r="D181" s="199"/>
      <c r="E181" s="200"/>
      <c r="F181" s="200"/>
      <c r="G181" s="199"/>
      <c r="H181" s="199"/>
      <c r="I181" s="199"/>
      <c r="J181" s="199"/>
      <c r="K181" s="199"/>
      <c r="L181" s="199"/>
      <c r="M181" s="199"/>
      <c r="N181" s="199"/>
      <c r="O181" s="198">
        <v>1.0</v>
      </c>
      <c r="P181" s="198" t="s">
        <v>23</v>
      </c>
      <c r="Q181" s="198" t="s">
        <v>23</v>
      </c>
      <c r="R181" s="199"/>
      <c r="S181" s="199"/>
      <c r="T181" s="199"/>
      <c r="U181" s="199"/>
      <c r="V181" s="201"/>
      <c r="W181" s="201"/>
      <c r="X181" s="201"/>
      <c r="Y181" s="201"/>
      <c r="Z181" s="201"/>
      <c r="AA181" s="201"/>
      <c r="AB181" s="201"/>
      <c r="AC181" s="201"/>
      <c r="AD181" s="201"/>
      <c r="AE181" s="201"/>
    </row>
    <row r="182" hidden="1">
      <c r="A182" s="197" t="s">
        <v>710</v>
      </c>
      <c r="B182" s="198">
        <v>38.0</v>
      </c>
      <c r="C182" s="199"/>
      <c r="D182" s="199"/>
      <c r="E182" s="200"/>
      <c r="F182" s="200"/>
      <c r="G182" s="199"/>
      <c r="H182" s="199"/>
      <c r="I182" s="199"/>
      <c r="J182" s="199"/>
      <c r="K182" s="199"/>
      <c r="L182" s="199"/>
      <c r="M182" s="199"/>
      <c r="N182" s="199"/>
      <c r="O182" s="198">
        <v>1.0</v>
      </c>
      <c r="P182" s="198" t="s">
        <v>23</v>
      </c>
      <c r="Q182" s="198" t="s">
        <v>23</v>
      </c>
      <c r="R182" s="199"/>
      <c r="S182" s="199"/>
      <c r="T182" s="199"/>
      <c r="U182" s="199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1"/>
    </row>
    <row r="183" hidden="1">
      <c r="A183" s="202" t="s">
        <v>711</v>
      </c>
      <c r="B183" s="180">
        <v>38.0</v>
      </c>
      <c r="C183" s="203"/>
      <c r="D183" s="203"/>
      <c r="E183" s="182"/>
      <c r="F183" s="182"/>
      <c r="G183" s="203"/>
      <c r="H183" s="203"/>
      <c r="I183" s="203"/>
      <c r="J183" s="203"/>
      <c r="K183" s="203"/>
      <c r="L183" s="180">
        <v>1.0</v>
      </c>
      <c r="M183" s="180">
        <v>1.0</v>
      </c>
      <c r="N183" s="203"/>
      <c r="O183" s="203"/>
      <c r="P183" s="180" t="s">
        <v>23</v>
      </c>
      <c r="Q183" s="180" t="s">
        <v>23</v>
      </c>
      <c r="R183" s="203"/>
      <c r="S183" s="203"/>
      <c r="T183" s="180">
        <v>1.0</v>
      </c>
      <c r="U183" s="203"/>
      <c r="V183" s="204"/>
      <c r="W183" s="204"/>
      <c r="X183" s="204"/>
      <c r="Y183" s="204"/>
      <c r="Z183" s="204"/>
      <c r="AA183" s="204"/>
      <c r="AB183" s="204"/>
      <c r="AC183" s="204"/>
      <c r="AD183" s="204"/>
      <c r="AE183" s="204"/>
    </row>
    <row r="184" hidden="1">
      <c r="A184" s="202" t="s">
        <v>712</v>
      </c>
      <c r="B184" s="180">
        <v>38.0</v>
      </c>
      <c r="C184" s="203"/>
      <c r="D184" s="203"/>
      <c r="E184" s="182"/>
      <c r="F184" s="182"/>
      <c r="G184" s="203"/>
      <c r="H184" s="203"/>
      <c r="I184" s="203"/>
      <c r="J184" s="203"/>
      <c r="K184" s="203"/>
      <c r="L184" s="180">
        <v>1.0</v>
      </c>
      <c r="M184" s="180">
        <v>1.0</v>
      </c>
      <c r="N184" s="203"/>
      <c r="O184" s="203"/>
      <c r="P184" s="180" t="s">
        <v>23</v>
      </c>
      <c r="Q184" s="180" t="s">
        <v>23</v>
      </c>
      <c r="R184" s="203"/>
      <c r="S184" s="203"/>
      <c r="T184" s="203"/>
      <c r="U184" s="203"/>
      <c r="V184" s="204"/>
      <c r="W184" s="204"/>
      <c r="X184" s="204"/>
      <c r="Y184" s="204"/>
      <c r="Z184" s="204"/>
      <c r="AA184" s="204"/>
      <c r="AB184" s="204"/>
      <c r="AC184" s="204"/>
      <c r="AD184" s="204"/>
      <c r="AE184" s="204"/>
    </row>
    <row r="185" hidden="1">
      <c r="A185" s="202" t="s">
        <v>713</v>
      </c>
      <c r="B185" s="180">
        <v>38.0</v>
      </c>
      <c r="C185" s="203"/>
      <c r="D185" s="203"/>
      <c r="E185" s="182"/>
      <c r="F185" s="182"/>
      <c r="G185" s="203"/>
      <c r="H185" s="203"/>
      <c r="I185" s="203"/>
      <c r="J185" s="203"/>
      <c r="K185" s="203"/>
      <c r="L185" s="180">
        <v>1.0</v>
      </c>
      <c r="M185" s="180">
        <v>1.0</v>
      </c>
      <c r="N185" s="203"/>
      <c r="O185" s="203"/>
      <c r="P185" s="180" t="s">
        <v>23</v>
      </c>
      <c r="Q185" s="180" t="s">
        <v>23</v>
      </c>
      <c r="R185" s="203"/>
      <c r="S185" s="203"/>
      <c r="T185" s="203"/>
      <c r="U185" s="203"/>
      <c r="V185" s="204"/>
      <c r="W185" s="204"/>
      <c r="X185" s="204"/>
      <c r="Y185" s="204"/>
      <c r="Z185" s="204"/>
      <c r="AA185" s="204"/>
      <c r="AB185" s="204"/>
      <c r="AC185" s="204"/>
      <c r="AD185" s="204"/>
      <c r="AE185" s="204"/>
    </row>
    <row r="186" hidden="1">
      <c r="A186" s="197" t="s">
        <v>714</v>
      </c>
      <c r="B186" s="198">
        <v>38.0</v>
      </c>
      <c r="C186" s="199"/>
      <c r="D186" s="199"/>
      <c r="E186" s="200"/>
      <c r="F186" s="200"/>
      <c r="G186" s="199"/>
      <c r="H186" s="199"/>
      <c r="I186" s="199"/>
      <c r="J186" s="199"/>
      <c r="K186" s="199"/>
      <c r="L186" s="199"/>
      <c r="M186" s="199"/>
      <c r="N186" s="199"/>
      <c r="O186" s="198">
        <v>1.0</v>
      </c>
      <c r="P186" s="198" t="s">
        <v>23</v>
      </c>
      <c r="Q186" s="198" t="s">
        <v>23</v>
      </c>
      <c r="R186" s="199"/>
      <c r="S186" s="199"/>
      <c r="T186" s="199"/>
      <c r="U186" s="199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</row>
    <row r="187" hidden="1">
      <c r="A187" s="197" t="s">
        <v>715</v>
      </c>
      <c r="B187" s="198">
        <v>38.0</v>
      </c>
      <c r="C187" s="199"/>
      <c r="D187" s="199"/>
      <c r="E187" s="200"/>
      <c r="F187" s="200"/>
      <c r="G187" s="199"/>
      <c r="H187" s="199"/>
      <c r="I187" s="199"/>
      <c r="J187" s="199"/>
      <c r="K187" s="199"/>
      <c r="L187" s="199"/>
      <c r="M187" s="199"/>
      <c r="N187" s="199"/>
      <c r="O187" s="198">
        <v>1.0</v>
      </c>
      <c r="P187" s="198" t="s">
        <v>23</v>
      </c>
      <c r="Q187" s="198" t="s">
        <v>23</v>
      </c>
      <c r="R187" s="199"/>
      <c r="S187" s="199"/>
      <c r="T187" s="199"/>
      <c r="U187" s="199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</row>
    <row r="188" hidden="1">
      <c r="A188" s="202" t="s">
        <v>716</v>
      </c>
      <c r="B188" s="180">
        <v>38.0</v>
      </c>
      <c r="C188" s="203"/>
      <c r="D188" s="203"/>
      <c r="E188" s="182"/>
      <c r="F188" s="182"/>
      <c r="G188" s="203"/>
      <c r="H188" s="203"/>
      <c r="I188" s="203"/>
      <c r="J188" s="203"/>
      <c r="K188" s="203"/>
      <c r="L188" s="180">
        <v>1.0</v>
      </c>
      <c r="M188" s="180">
        <v>1.0</v>
      </c>
      <c r="N188" s="203"/>
      <c r="O188" s="203"/>
      <c r="P188" s="180" t="s">
        <v>23</v>
      </c>
      <c r="Q188" s="180" t="s">
        <v>23</v>
      </c>
      <c r="R188" s="203"/>
      <c r="S188" s="203"/>
      <c r="T188" s="203"/>
      <c r="U188" s="203"/>
      <c r="V188" s="204"/>
      <c r="W188" s="204"/>
      <c r="X188" s="204"/>
      <c r="Y188" s="204"/>
      <c r="Z188" s="204"/>
      <c r="AA188" s="204"/>
      <c r="AB188" s="204"/>
      <c r="AC188" s="204"/>
      <c r="AD188" s="204"/>
      <c r="AE188" s="204"/>
    </row>
    <row r="189" hidden="1">
      <c r="A189" s="202" t="s">
        <v>717</v>
      </c>
      <c r="B189" s="180">
        <v>38.0</v>
      </c>
      <c r="C189" s="203"/>
      <c r="D189" s="203"/>
      <c r="E189" s="182"/>
      <c r="F189" s="182"/>
      <c r="G189" s="203"/>
      <c r="H189" s="203"/>
      <c r="I189" s="203"/>
      <c r="J189" s="203"/>
      <c r="K189" s="203"/>
      <c r="L189" s="180">
        <v>1.0</v>
      </c>
      <c r="M189" s="180">
        <v>1.0</v>
      </c>
      <c r="N189" s="203"/>
      <c r="O189" s="203"/>
      <c r="P189" s="180" t="s">
        <v>23</v>
      </c>
      <c r="Q189" s="180" t="s">
        <v>23</v>
      </c>
      <c r="R189" s="203"/>
      <c r="S189" s="203"/>
      <c r="T189" s="203"/>
      <c r="U189" s="203"/>
      <c r="V189" s="204"/>
      <c r="W189" s="204"/>
      <c r="X189" s="204"/>
      <c r="Y189" s="204"/>
      <c r="Z189" s="204"/>
      <c r="AA189" s="204"/>
      <c r="AB189" s="204"/>
      <c r="AC189" s="204"/>
      <c r="AD189" s="204"/>
      <c r="AE189" s="204"/>
    </row>
    <row r="190" hidden="1">
      <c r="A190" s="197" t="s">
        <v>718</v>
      </c>
      <c r="B190" s="198">
        <v>38.0</v>
      </c>
      <c r="C190" s="199"/>
      <c r="D190" s="199"/>
      <c r="E190" s="200"/>
      <c r="F190" s="200"/>
      <c r="G190" s="199"/>
      <c r="H190" s="198">
        <v>1.0</v>
      </c>
      <c r="I190" s="199"/>
      <c r="J190" s="199"/>
      <c r="K190" s="199"/>
      <c r="L190" s="199"/>
      <c r="M190" s="199"/>
      <c r="N190" s="199"/>
      <c r="O190" s="198">
        <v>1.0</v>
      </c>
      <c r="P190" s="198" t="s">
        <v>23</v>
      </c>
      <c r="Q190" s="198" t="s">
        <v>23</v>
      </c>
      <c r="R190" s="199"/>
      <c r="S190" s="199"/>
      <c r="T190" s="199"/>
      <c r="U190" s="199"/>
      <c r="V190" s="201"/>
      <c r="W190" s="201"/>
      <c r="X190" s="201"/>
      <c r="Y190" s="201"/>
      <c r="Z190" s="201"/>
      <c r="AA190" s="201"/>
      <c r="AB190" s="201"/>
      <c r="AC190" s="201"/>
      <c r="AD190" s="201"/>
      <c r="AE190" s="201"/>
    </row>
    <row r="191" hidden="1">
      <c r="A191" s="156" t="s">
        <v>719</v>
      </c>
      <c r="B191" s="184">
        <v>39.0</v>
      </c>
      <c r="C191" s="184">
        <v>1.0</v>
      </c>
      <c r="D191" s="184">
        <v>1.0</v>
      </c>
      <c r="E191" s="185">
        <v>1.0</v>
      </c>
      <c r="F191" s="186"/>
      <c r="G191" s="184">
        <v>3.0</v>
      </c>
      <c r="H191" s="184" t="s">
        <v>23</v>
      </c>
      <c r="I191" s="184" t="s">
        <v>42</v>
      </c>
      <c r="J191" s="184" t="s">
        <v>60</v>
      </c>
      <c r="K191" s="184" t="s">
        <v>110</v>
      </c>
      <c r="L191" s="184" t="s">
        <v>23</v>
      </c>
      <c r="M191" s="184" t="s">
        <v>23</v>
      </c>
      <c r="N191" s="184" t="s">
        <v>23</v>
      </c>
      <c r="O191" s="184">
        <v>1.0</v>
      </c>
      <c r="P191" s="184" t="s">
        <v>23</v>
      </c>
      <c r="Q191" s="184" t="s">
        <v>23</v>
      </c>
      <c r="R191" s="184" t="s">
        <v>23</v>
      </c>
      <c r="S191" s="184" t="s">
        <v>23</v>
      </c>
      <c r="T191" s="184" t="s">
        <v>23</v>
      </c>
      <c r="U191" s="184" t="s">
        <v>23</v>
      </c>
      <c r="V191" s="188"/>
      <c r="W191" s="188"/>
      <c r="X191" s="188"/>
      <c r="Y191" s="188"/>
      <c r="Z191" s="188"/>
      <c r="AA191" s="188"/>
      <c r="AB191" s="188"/>
      <c r="AC191" s="188"/>
      <c r="AD191" s="188"/>
      <c r="AE191" s="188"/>
    </row>
    <row r="192" hidden="1">
      <c r="A192" s="205" t="s">
        <v>720</v>
      </c>
      <c r="B192" s="206">
        <v>39.0</v>
      </c>
      <c r="C192" s="207"/>
      <c r="D192" s="207"/>
      <c r="E192" s="208"/>
      <c r="F192" s="208"/>
      <c r="G192" s="207"/>
      <c r="H192" s="207"/>
      <c r="I192" s="207"/>
      <c r="J192" s="207"/>
      <c r="K192" s="207"/>
      <c r="L192" s="206">
        <v>1.0</v>
      </c>
      <c r="M192" s="206">
        <v>1.0</v>
      </c>
      <c r="N192" s="207"/>
      <c r="O192" s="207"/>
      <c r="P192" s="207"/>
      <c r="Q192" s="206" t="s">
        <v>23</v>
      </c>
      <c r="R192" s="206" t="s">
        <v>23</v>
      </c>
      <c r="S192" s="207"/>
      <c r="T192" s="207"/>
      <c r="U192" s="207"/>
      <c r="V192" s="209"/>
      <c r="W192" s="209"/>
      <c r="X192" s="209"/>
      <c r="Y192" s="209"/>
      <c r="Z192" s="209"/>
      <c r="AA192" s="209"/>
      <c r="AB192" s="209"/>
      <c r="AC192" s="209"/>
      <c r="AD192" s="209"/>
      <c r="AE192" s="209"/>
    </row>
    <row r="193" hidden="1">
      <c r="A193" s="67" t="s">
        <v>721</v>
      </c>
      <c r="B193" s="189">
        <v>39.0</v>
      </c>
      <c r="C193" s="190"/>
      <c r="D193" s="190"/>
      <c r="E193" s="191"/>
      <c r="F193" s="191"/>
      <c r="G193" s="190"/>
      <c r="H193" s="190"/>
      <c r="I193" s="190"/>
      <c r="J193" s="190"/>
      <c r="K193" s="190"/>
      <c r="L193" s="190"/>
      <c r="M193" s="190"/>
      <c r="N193" s="190"/>
      <c r="O193" s="189">
        <v>1.0</v>
      </c>
      <c r="P193" s="190"/>
      <c r="Q193" s="189" t="s">
        <v>23</v>
      </c>
      <c r="R193" s="189" t="s">
        <v>23</v>
      </c>
      <c r="S193" s="190"/>
      <c r="T193" s="190"/>
      <c r="U193" s="190"/>
      <c r="V193" s="192"/>
      <c r="W193" s="192"/>
      <c r="X193" s="192"/>
      <c r="Y193" s="192"/>
      <c r="Z193" s="192"/>
      <c r="AA193" s="192"/>
      <c r="AB193" s="192"/>
      <c r="AC193" s="192"/>
      <c r="AD193" s="192"/>
      <c r="AE193" s="192"/>
    </row>
    <row r="194" hidden="1">
      <c r="A194" s="67" t="s">
        <v>722</v>
      </c>
      <c r="B194" s="189">
        <v>39.0</v>
      </c>
      <c r="C194" s="190"/>
      <c r="D194" s="190"/>
      <c r="E194" s="191"/>
      <c r="F194" s="191"/>
      <c r="G194" s="190"/>
      <c r="H194" s="190"/>
      <c r="I194" s="190"/>
      <c r="J194" s="190"/>
      <c r="K194" s="190"/>
      <c r="L194" s="190"/>
      <c r="M194" s="190"/>
      <c r="N194" s="190"/>
      <c r="O194" s="189">
        <v>1.0</v>
      </c>
      <c r="P194" s="190"/>
      <c r="Q194" s="189" t="s">
        <v>23</v>
      </c>
      <c r="R194" s="189" t="s">
        <v>23</v>
      </c>
      <c r="S194" s="190"/>
      <c r="T194" s="190"/>
      <c r="U194" s="190"/>
      <c r="V194" s="192"/>
      <c r="W194" s="192"/>
      <c r="X194" s="192"/>
      <c r="Y194" s="192"/>
      <c r="Z194" s="192"/>
      <c r="AA194" s="192"/>
      <c r="AB194" s="192"/>
      <c r="AC194" s="192"/>
      <c r="AD194" s="192"/>
      <c r="AE194" s="192"/>
    </row>
    <row r="195" hidden="1">
      <c r="A195" s="67" t="s">
        <v>723</v>
      </c>
      <c r="B195" s="189">
        <v>39.0</v>
      </c>
      <c r="C195" s="190"/>
      <c r="D195" s="190"/>
      <c r="E195" s="191"/>
      <c r="F195" s="191"/>
      <c r="G195" s="190"/>
      <c r="H195" s="190"/>
      <c r="I195" s="190"/>
      <c r="J195" s="190"/>
      <c r="K195" s="190"/>
      <c r="L195" s="190"/>
      <c r="M195" s="190"/>
      <c r="N195" s="190"/>
      <c r="O195" s="189">
        <v>1.0</v>
      </c>
      <c r="P195" s="190"/>
      <c r="Q195" s="189" t="s">
        <v>23</v>
      </c>
      <c r="R195" s="189" t="s">
        <v>23</v>
      </c>
      <c r="S195" s="190"/>
      <c r="T195" s="190"/>
      <c r="U195" s="190"/>
      <c r="V195" s="192"/>
      <c r="W195" s="192"/>
      <c r="X195" s="192"/>
      <c r="Y195" s="192"/>
      <c r="Z195" s="192"/>
      <c r="AA195" s="192"/>
      <c r="AB195" s="192"/>
      <c r="AC195" s="192"/>
      <c r="AD195" s="192"/>
      <c r="AE195" s="192"/>
    </row>
    <row r="196" hidden="1">
      <c r="A196" s="205" t="s">
        <v>724</v>
      </c>
      <c r="B196" s="206">
        <v>39.0</v>
      </c>
      <c r="C196" s="207"/>
      <c r="D196" s="207"/>
      <c r="E196" s="208"/>
      <c r="F196" s="208"/>
      <c r="G196" s="207"/>
      <c r="H196" s="207"/>
      <c r="I196" s="207"/>
      <c r="J196" s="207"/>
      <c r="K196" s="207"/>
      <c r="L196" s="206">
        <v>1.0</v>
      </c>
      <c r="M196" s="206">
        <v>1.0</v>
      </c>
      <c r="N196" s="207"/>
      <c r="O196" s="207"/>
      <c r="P196" s="207"/>
      <c r="Q196" s="206" t="s">
        <v>23</v>
      </c>
      <c r="R196" s="206" t="s">
        <v>23</v>
      </c>
      <c r="S196" s="207"/>
      <c r="T196" s="207"/>
      <c r="U196" s="207"/>
      <c r="V196" s="209"/>
      <c r="W196" s="209"/>
      <c r="X196" s="209"/>
      <c r="Y196" s="209"/>
      <c r="Z196" s="209"/>
      <c r="AA196" s="209"/>
      <c r="AB196" s="209"/>
      <c r="AC196" s="209"/>
      <c r="AD196" s="209"/>
      <c r="AE196" s="209"/>
    </row>
    <row r="197" hidden="1">
      <c r="A197" s="205" t="s">
        <v>725</v>
      </c>
      <c r="B197" s="206">
        <v>39.0</v>
      </c>
      <c r="C197" s="207"/>
      <c r="D197" s="207"/>
      <c r="E197" s="208"/>
      <c r="F197" s="208"/>
      <c r="G197" s="207"/>
      <c r="H197" s="207"/>
      <c r="I197" s="207"/>
      <c r="J197" s="207"/>
      <c r="K197" s="207"/>
      <c r="L197" s="206">
        <v>1.0</v>
      </c>
      <c r="M197" s="206">
        <v>1.0</v>
      </c>
      <c r="N197" s="207"/>
      <c r="O197" s="207"/>
      <c r="P197" s="207"/>
      <c r="Q197" s="206" t="s">
        <v>23</v>
      </c>
      <c r="R197" s="206" t="s">
        <v>23</v>
      </c>
      <c r="S197" s="207"/>
      <c r="T197" s="207"/>
      <c r="U197" s="207"/>
      <c r="V197" s="209"/>
      <c r="W197" s="209"/>
      <c r="X197" s="209"/>
      <c r="Y197" s="209"/>
      <c r="Z197" s="209"/>
      <c r="AA197" s="209"/>
      <c r="AB197" s="209"/>
      <c r="AC197" s="209"/>
      <c r="AD197" s="209"/>
      <c r="AE197" s="209"/>
    </row>
    <row r="198" hidden="1">
      <c r="A198" s="205" t="s">
        <v>726</v>
      </c>
      <c r="B198" s="206">
        <v>39.0</v>
      </c>
      <c r="C198" s="207"/>
      <c r="D198" s="207"/>
      <c r="E198" s="208"/>
      <c r="F198" s="208"/>
      <c r="G198" s="207"/>
      <c r="H198" s="207"/>
      <c r="I198" s="207"/>
      <c r="J198" s="207"/>
      <c r="K198" s="207"/>
      <c r="L198" s="206">
        <v>1.0</v>
      </c>
      <c r="M198" s="206">
        <v>1.0</v>
      </c>
      <c r="N198" s="207"/>
      <c r="O198" s="207"/>
      <c r="P198" s="207"/>
      <c r="Q198" s="206" t="s">
        <v>23</v>
      </c>
      <c r="R198" s="206" t="s">
        <v>23</v>
      </c>
      <c r="S198" s="207"/>
      <c r="T198" s="207"/>
      <c r="U198" s="207"/>
      <c r="V198" s="209"/>
      <c r="W198" s="209"/>
      <c r="X198" s="209"/>
      <c r="Y198" s="209"/>
      <c r="Z198" s="209"/>
      <c r="AA198" s="209"/>
      <c r="AB198" s="209"/>
      <c r="AC198" s="209"/>
      <c r="AD198" s="209"/>
      <c r="AE198" s="209"/>
    </row>
    <row r="199" hidden="1">
      <c r="A199" s="205" t="s">
        <v>727</v>
      </c>
      <c r="B199" s="206">
        <v>39.0</v>
      </c>
      <c r="C199" s="207"/>
      <c r="D199" s="207"/>
      <c r="E199" s="208"/>
      <c r="F199" s="208"/>
      <c r="G199" s="207"/>
      <c r="H199" s="207"/>
      <c r="I199" s="207"/>
      <c r="J199" s="207"/>
      <c r="K199" s="207"/>
      <c r="L199" s="206">
        <v>1.0</v>
      </c>
      <c r="M199" s="206">
        <v>1.0</v>
      </c>
      <c r="N199" s="207"/>
      <c r="O199" s="207"/>
      <c r="P199" s="207"/>
      <c r="Q199" s="206" t="s">
        <v>23</v>
      </c>
      <c r="R199" s="206" t="s">
        <v>23</v>
      </c>
      <c r="S199" s="207"/>
      <c r="T199" s="207"/>
      <c r="U199" s="207"/>
      <c r="V199" s="209"/>
      <c r="W199" s="209"/>
      <c r="X199" s="209"/>
      <c r="Y199" s="209"/>
      <c r="Z199" s="209"/>
      <c r="AA199" s="209"/>
      <c r="AB199" s="209"/>
      <c r="AC199" s="209"/>
      <c r="AD199" s="209"/>
      <c r="AE199" s="209"/>
    </row>
    <row r="200" hidden="1">
      <c r="A200" s="67" t="s">
        <v>728</v>
      </c>
      <c r="B200" s="189">
        <v>39.0</v>
      </c>
      <c r="C200" s="190"/>
      <c r="D200" s="190"/>
      <c r="E200" s="191"/>
      <c r="F200" s="191"/>
      <c r="G200" s="190"/>
      <c r="H200" s="190"/>
      <c r="I200" s="190"/>
      <c r="J200" s="190"/>
      <c r="K200" s="190"/>
      <c r="L200" s="190"/>
      <c r="M200" s="190"/>
      <c r="N200" s="190"/>
      <c r="O200" s="189">
        <v>1.0</v>
      </c>
      <c r="P200" s="190"/>
      <c r="Q200" s="189" t="s">
        <v>23</v>
      </c>
      <c r="R200" s="189" t="s">
        <v>23</v>
      </c>
      <c r="S200" s="190"/>
      <c r="T200" s="190"/>
      <c r="U200" s="190"/>
      <c r="V200" s="192"/>
      <c r="W200" s="192"/>
      <c r="X200" s="192"/>
      <c r="Y200" s="192"/>
      <c r="Z200" s="192"/>
      <c r="AA200" s="192"/>
      <c r="AB200" s="192"/>
      <c r="AC200" s="192"/>
      <c r="AD200" s="192"/>
      <c r="AE200" s="192"/>
    </row>
    <row r="201" hidden="1">
      <c r="A201" s="67" t="s">
        <v>729</v>
      </c>
      <c r="B201" s="189">
        <v>39.0</v>
      </c>
      <c r="C201" s="190"/>
      <c r="D201" s="190"/>
      <c r="E201" s="191"/>
      <c r="F201" s="191"/>
      <c r="G201" s="190"/>
      <c r="H201" s="190"/>
      <c r="I201" s="190"/>
      <c r="J201" s="190"/>
      <c r="K201" s="190"/>
      <c r="L201" s="190"/>
      <c r="M201" s="190"/>
      <c r="N201" s="190"/>
      <c r="O201" s="189">
        <v>1.0</v>
      </c>
      <c r="P201" s="190"/>
      <c r="Q201" s="189" t="s">
        <v>23</v>
      </c>
      <c r="R201" s="189" t="s">
        <v>23</v>
      </c>
      <c r="S201" s="190"/>
      <c r="T201" s="190"/>
      <c r="U201" s="190"/>
      <c r="V201" s="192"/>
      <c r="W201" s="192"/>
      <c r="X201" s="192"/>
      <c r="Y201" s="192"/>
      <c r="Z201" s="192"/>
      <c r="AA201" s="192"/>
      <c r="AB201" s="192"/>
      <c r="AC201" s="192"/>
      <c r="AD201" s="192"/>
      <c r="AE201" s="192"/>
    </row>
    <row r="202" hidden="1">
      <c r="A202" s="67" t="s">
        <v>730</v>
      </c>
      <c r="B202" s="189">
        <v>39.0</v>
      </c>
      <c r="C202" s="190"/>
      <c r="D202" s="190"/>
      <c r="E202" s="191"/>
      <c r="F202" s="191"/>
      <c r="G202" s="190"/>
      <c r="H202" s="190"/>
      <c r="I202" s="190"/>
      <c r="J202" s="190"/>
      <c r="K202" s="190"/>
      <c r="L202" s="190"/>
      <c r="M202" s="190"/>
      <c r="N202" s="190"/>
      <c r="O202" s="189">
        <v>1.0</v>
      </c>
      <c r="P202" s="189">
        <v>1.0</v>
      </c>
      <c r="Q202" s="189" t="s">
        <v>23</v>
      </c>
      <c r="R202" s="189" t="s">
        <v>23</v>
      </c>
      <c r="S202" s="190"/>
      <c r="T202" s="190"/>
      <c r="U202" s="190"/>
      <c r="V202" s="192"/>
      <c r="W202" s="192"/>
      <c r="X202" s="192"/>
      <c r="Y202" s="192"/>
      <c r="Z202" s="192"/>
      <c r="AA202" s="192"/>
      <c r="AB202" s="192"/>
      <c r="AC202" s="192"/>
      <c r="AD202" s="192"/>
      <c r="AE202" s="192"/>
    </row>
    <row r="203" hidden="1">
      <c r="A203" s="67" t="s">
        <v>731</v>
      </c>
      <c r="B203" s="189">
        <v>39.0</v>
      </c>
      <c r="C203" s="190"/>
      <c r="D203" s="190"/>
      <c r="E203" s="191"/>
      <c r="F203" s="191"/>
      <c r="G203" s="190"/>
      <c r="H203" s="190"/>
      <c r="I203" s="190"/>
      <c r="J203" s="190"/>
      <c r="K203" s="190"/>
      <c r="L203" s="190"/>
      <c r="M203" s="190"/>
      <c r="N203" s="190"/>
      <c r="O203" s="189">
        <v>1.0</v>
      </c>
      <c r="P203" s="190"/>
      <c r="Q203" s="189" t="s">
        <v>23</v>
      </c>
      <c r="R203" s="189" t="s">
        <v>23</v>
      </c>
      <c r="S203" s="190"/>
      <c r="T203" s="190"/>
      <c r="U203" s="190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</row>
    <row r="204" hidden="1">
      <c r="A204" s="67" t="s">
        <v>732</v>
      </c>
      <c r="B204" s="189">
        <v>39.0</v>
      </c>
      <c r="C204" s="190"/>
      <c r="D204" s="190"/>
      <c r="E204" s="191"/>
      <c r="F204" s="191"/>
      <c r="G204" s="190"/>
      <c r="H204" s="190"/>
      <c r="I204" s="190"/>
      <c r="J204" s="190"/>
      <c r="K204" s="190"/>
      <c r="L204" s="190"/>
      <c r="M204" s="190"/>
      <c r="N204" s="190"/>
      <c r="O204" s="189">
        <v>1.0</v>
      </c>
      <c r="P204" s="190"/>
      <c r="Q204" s="189" t="s">
        <v>23</v>
      </c>
      <c r="R204" s="189" t="s">
        <v>23</v>
      </c>
      <c r="S204" s="190"/>
      <c r="T204" s="190"/>
      <c r="U204" s="190"/>
      <c r="V204" s="192"/>
      <c r="W204" s="192"/>
      <c r="X204" s="192"/>
      <c r="Y204" s="192"/>
      <c r="Z204" s="192"/>
      <c r="AA204" s="192"/>
      <c r="AB204" s="192"/>
      <c r="AC204" s="192"/>
      <c r="AD204" s="192"/>
      <c r="AE204" s="192"/>
    </row>
    <row r="205" hidden="1">
      <c r="A205" s="205" t="s">
        <v>733</v>
      </c>
      <c r="B205" s="206">
        <v>39.0</v>
      </c>
      <c r="C205" s="207"/>
      <c r="D205" s="207"/>
      <c r="E205" s="208"/>
      <c r="F205" s="208"/>
      <c r="G205" s="207"/>
      <c r="H205" s="207"/>
      <c r="I205" s="207"/>
      <c r="J205" s="207"/>
      <c r="K205" s="207"/>
      <c r="L205" s="206">
        <v>1.0</v>
      </c>
      <c r="M205" s="206">
        <v>1.0</v>
      </c>
      <c r="N205" s="207"/>
      <c r="O205" s="207"/>
      <c r="P205" s="207"/>
      <c r="Q205" s="206" t="s">
        <v>23</v>
      </c>
      <c r="R205" s="206" t="s">
        <v>23</v>
      </c>
      <c r="S205" s="207"/>
      <c r="T205" s="207"/>
      <c r="U205" s="207"/>
      <c r="V205" s="209"/>
      <c r="W205" s="209"/>
      <c r="X205" s="209"/>
      <c r="Y205" s="209"/>
      <c r="Z205" s="209"/>
      <c r="AA205" s="209"/>
      <c r="AB205" s="209"/>
      <c r="AC205" s="209"/>
      <c r="AD205" s="209"/>
      <c r="AE205" s="209"/>
    </row>
    <row r="206" hidden="1">
      <c r="A206" s="205" t="s">
        <v>734</v>
      </c>
      <c r="B206" s="206">
        <v>39.0</v>
      </c>
      <c r="C206" s="207"/>
      <c r="D206" s="207"/>
      <c r="E206" s="208"/>
      <c r="F206" s="208"/>
      <c r="G206" s="207"/>
      <c r="H206" s="207"/>
      <c r="I206" s="207"/>
      <c r="J206" s="207"/>
      <c r="K206" s="207"/>
      <c r="L206" s="206">
        <v>1.0</v>
      </c>
      <c r="M206" s="206">
        <v>1.0</v>
      </c>
      <c r="N206" s="207"/>
      <c r="O206" s="207"/>
      <c r="P206" s="207"/>
      <c r="Q206" s="206" t="s">
        <v>23</v>
      </c>
      <c r="R206" s="206" t="s">
        <v>23</v>
      </c>
      <c r="S206" s="207"/>
      <c r="T206" s="207"/>
      <c r="U206" s="207"/>
      <c r="V206" s="209"/>
      <c r="W206" s="209"/>
      <c r="X206" s="209"/>
      <c r="Y206" s="209"/>
      <c r="Z206" s="209"/>
      <c r="AA206" s="209"/>
      <c r="AB206" s="209"/>
      <c r="AC206" s="209"/>
      <c r="AD206" s="209"/>
      <c r="AE206" s="209"/>
    </row>
    <row r="207" hidden="1">
      <c r="A207" s="205" t="s">
        <v>735</v>
      </c>
      <c r="B207" s="206">
        <v>39.0</v>
      </c>
      <c r="C207" s="207"/>
      <c r="D207" s="207"/>
      <c r="E207" s="208"/>
      <c r="F207" s="208"/>
      <c r="G207" s="207"/>
      <c r="H207" s="207"/>
      <c r="I207" s="207"/>
      <c r="J207" s="207"/>
      <c r="K207" s="207"/>
      <c r="L207" s="206">
        <v>1.0</v>
      </c>
      <c r="M207" s="206">
        <v>1.0</v>
      </c>
      <c r="N207" s="207"/>
      <c r="O207" s="207"/>
      <c r="P207" s="207"/>
      <c r="Q207" s="206" t="s">
        <v>23</v>
      </c>
      <c r="R207" s="206" t="s">
        <v>23</v>
      </c>
      <c r="S207" s="207"/>
      <c r="T207" s="207"/>
      <c r="U207" s="207"/>
      <c r="V207" s="209"/>
      <c r="W207" s="209"/>
      <c r="X207" s="209"/>
      <c r="Y207" s="209"/>
      <c r="Z207" s="209"/>
      <c r="AA207" s="209"/>
      <c r="AB207" s="209"/>
      <c r="AC207" s="209"/>
      <c r="AD207" s="209"/>
      <c r="AE207" s="209"/>
    </row>
    <row r="208" hidden="1">
      <c r="A208" s="205" t="s">
        <v>736</v>
      </c>
      <c r="B208" s="206">
        <v>39.0</v>
      </c>
      <c r="C208" s="207"/>
      <c r="D208" s="207"/>
      <c r="E208" s="208"/>
      <c r="F208" s="208"/>
      <c r="G208" s="207"/>
      <c r="H208" s="207"/>
      <c r="I208" s="207"/>
      <c r="J208" s="207"/>
      <c r="K208" s="207"/>
      <c r="L208" s="206">
        <v>1.0</v>
      </c>
      <c r="M208" s="206">
        <v>1.0</v>
      </c>
      <c r="N208" s="207"/>
      <c r="O208" s="207"/>
      <c r="P208" s="207"/>
      <c r="Q208" s="206" t="s">
        <v>23</v>
      </c>
      <c r="R208" s="206" t="s">
        <v>23</v>
      </c>
      <c r="S208" s="207"/>
      <c r="T208" s="207"/>
      <c r="U208" s="207"/>
      <c r="V208" s="209"/>
      <c r="W208" s="209"/>
      <c r="X208" s="209"/>
      <c r="Y208" s="209"/>
      <c r="Z208" s="209"/>
      <c r="AA208" s="209"/>
      <c r="AB208" s="209"/>
      <c r="AC208" s="209"/>
      <c r="AD208" s="209"/>
      <c r="AE208" s="209"/>
    </row>
    <row r="209" hidden="1">
      <c r="A209" s="67" t="s">
        <v>737</v>
      </c>
      <c r="B209" s="189">
        <v>39.0</v>
      </c>
      <c r="C209" s="190"/>
      <c r="D209" s="190"/>
      <c r="E209" s="191"/>
      <c r="F209" s="191"/>
      <c r="G209" s="190"/>
      <c r="H209" s="189">
        <v>1.0</v>
      </c>
      <c r="I209" s="190"/>
      <c r="J209" s="190"/>
      <c r="K209" s="190"/>
      <c r="L209" s="190"/>
      <c r="M209" s="190"/>
      <c r="N209" s="190"/>
      <c r="O209" s="189">
        <v>1.0</v>
      </c>
      <c r="P209" s="190"/>
      <c r="Q209" s="189" t="s">
        <v>23</v>
      </c>
      <c r="R209" s="189" t="s">
        <v>23</v>
      </c>
      <c r="S209" s="190"/>
      <c r="T209" s="190"/>
      <c r="U209" s="190"/>
      <c r="V209" s="192"/>
      <c r="W209" s="192"/>
      <c r="X209" s="192"/>
      <c r="Y209" s="192"/>
      <c r="Z209" s="192"/>
      <c r="AA209" s="192"/>
      <c r="AB209" s="192"/>
      <c r="AC209" s="192"/>
      <c r="AD209" s="192"/>
      <c r="AE209" s="192"/>
    </row>
    <row r="210" hidden="1">
      <c r="A210" s="205" t="s">
        <v>738</v>
      </c>
      <c r="B210" s="206">
        <v>39.0</v>
      </c>
      <c r="C210" s="207"/>
      <c r="D210" s="207"/>
      <c r="E210" s="208"/>
      <c r="F210" s="208"/>
      <c r="G210" s="207"/>
      <c r="H210" s="207"/>
      <c r="I210" s="207"/>
      <c r="J210" s="207"/>
      <c r="K210" s="207"/>
      <c r="L210" s="206">
        <v>1.0</v>
      </c>
      <c r="M210" s="206">
        <v>1.0</v>
      </c>
      <c r="N210" s="207"/>
      <c r="O210" s="207"/>
      <c r="P210" s="207"/>
      <c r="Q210" s="206" t="s">
        <v>23</v>
      </c>
      <c r="R210" s="206" t="s">
        <v>23</v>
      </c>
      <c r="S210" s="207"/>
      <c r="T210" s="207"/>
      <c r="U210" s="207"/>
      <c r="V210" s="209"/>
      <c r="W210" s="209"/>
      <c r="X210" s="209"/>
      <c r="Y210" s="209"/>
      <c r="Z210" s="209"/>
      <c r="AA210" s="209"/>
      <c r="AB210" s="209"/>
      <c r="AC210" s="209"/>
      <c r="AD210" s="209"/>
      <c r="AE210" s="209"/>
    </row>
    <row r="211">
      <c r="B211" s="28"/>
      <c r="C211" s="28"/>
      <c r="D211" s="28"/>
      <c r="E211" s="29"/>
      <c r="F211" s="29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</row>
    <row r="212">
      <c r="B212" s="28"/>
      <c r="C212" s="28"/>
      <c r="D212" s="28"/>
      <c r="E212" s="29"/>
      <c r="F212" s="29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</row>
    <row r="213">
      <c r="B213" s="28"/>
      <c r="C213" s="28"/>
      <c r="D213" s="28"/>
      <c r="E213" s="29"/>
      <c r="F213" s="29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</row>
    <row r="214">
      <c r="B214" s="28"/>
      <c r="C214" s="28"/>
      <c r="D214" s="28"/>
      <c r="E214" s="29"/>
      <c r="F214" s="29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</row>
    <row r="215">
      <c r="B215" s="28"/>
      <c r="C215" s="28"/>
      <c r="D215" s="28"/>
      <c r="E215" s="29"/>
      <c r="F215" s="29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</row>
    <row r="216">
      <c r="B216" s="28"/>
      <c r="C216" s="28"/>
      <c r="D216" s="28"/>
      <c r="E216" s="29"/>
      <c r="F216" s="29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</row>
    <row r="217">
      <c r="B217" s="28"/>
      <c r="C217" s="28"/>
      <c r="D217" s="28"/>
      <c r="E217" s="29"/>
      <c r="F217" s="29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</row>
    <row r="218">
      <c r="B218" s="28"/>
      <c r="C218" s="28"/>
      <c r="D218" s="28"/>
      <c r="E218" s="29"/>
      <c r="F218" s="29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</row>
    <row r="219">
      <c r="B219" s="28"/>
      <c r="C219" s="28"/>
      <c r="D219" s="28"/>
      <c r="E219" s="29"/>
      <c r="F219" s="29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</row>
    <row r="220">
      <c r="B220" s="28"/>
      <c r="C220" s="28"/>
      <c r="D220" s="28"/>
      <c r="E220" s="29"/>
      <c r="F220" s="29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</row>
    <row r="221">
      <c r="B221" s="28"/>
      <c r="C221" s="28"/>
      <c r="D221" s="28"/>
      <c r="E221" s="29"/>
      <c r="F221" s="29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</row>
    <row r="222">
      <c r="B222" s="28"/>
      <c r="C222" s="28"/>
      <c r="D222" s="28"/>
      <c r="E222" s="29"/>
      <c r="F222" s="29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</row>
    <row r="223">
      <c r="B223" s="28"/>
      <c r="C223" s="28"/>
      <c r="D223" s="28"/>
      <c r="E223" s="29"/>
      <c r="F223" s="29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</row>
    <row r="224">
      <c r="B224" s="28"/>
      <c r="C224" s="28"/>
      <c r="D224" s="28"/>
      <c r="E224" s="29"/>
      <c r="F224" s="29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</row>
    <row r="225">
      <c r="B225" s="28"/>
      <c r="C225" s="28"/>
      <c r="D225" s="28"/>
      <c r="E225" s="29"/>
      <c r="F225" s="29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</row>
    <row r="226">
      <c r="B226" s="28"/>
      <c r="C226" s="28"/>
      <c r="D226" s="28"/>
      <c r="E226" s="29"/>
      <c r="F226" s="29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</row>
    <row r="227">
      <c r="B227" s="28"/>
      <c r="C227" s="28"/>
      <c r="D227" s="28"/>
      <c r="E227" s="29"/>
      <c r="F227" s="29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</row>
    <row r="228">
      <c r="B228" s="28"/>
      <c r="C228" s="28"/>
      <c r="D228" s="28"/>
      <c r="E228" s="29"/>
      <c r="F228" s="29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</row>
    <row r="229">
      <c r="B229" s="28"/>
      <c r="C229" s="28"/>
      <c r="D229" s="28"/>
      <c r="E229" s="29"/>
      <c r="F229" s="29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</row>
    <row r="230">
      <c r="B230" s="28"/>
      <c r="C230" s="28"/>
      <c r="D230" s="28"/>
      <c r="E230" s="29"/>
      <c r="F230" s="29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</row>
    <row r="231">
      <c r="B231" s="28"/>
      <c r="C231" s="28"/>
      <c r="D231" s="28"/>
      <c r="E231" s="29"/>
      <c r="F231" s="29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</row>
    <row r="232">
      <c r="B232" s="28"/>
      <c r="C232" s="28"/>
      <c r="D232" s="28"/>
      <c r="E232" s="29"/>
      <c r="F232" s="29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</row>
    <row r="233">
      <c r="B233" s="28"/>
      <c r="C233" s="28"/>
      <c r="D233" s="28"/>
      <c r="E233" s="29"/>
      <c r="F233" s="29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</row>
    <row r="234">
      <c r="B234" s="28"/>
      <c r="C234" s="28"/>
      <c r="D234" s="28"/>
      <c r="E234" s="29"/>
      <c r="F234" s="29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</row>
    <row r="235">
      <c r="B235" s="28"/>
      <c r="C235" s="28"/>
      <c r="D235" s="28"/>
      <c r="E235" s="29"/>
      <c r="F235" s="29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</row>
    <row r="236">
      <c r="B236" s="28"/>
      <c r="C236" s="28"/>
      <c r="D236" s="28"/>
      <c r="E236" s="29"/>
      <c r="F236" s="29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</row>
    <row r="237">
      <c r="B237" s="28"/>
      <c r="C237" s="28"/>
      <c r="D237" s="28"/>
      <c r="E237" s="29"/>
      <c r="F237" s="29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</row>
    <row r="238">
      <c r="B238" s="28"/>
      <c r="C238" s="28"/>
      <c r="D238" s="28"/>
      <c r="E238" s="29"/>
      <c r="F238" s="29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</row>
    <row r="239">
      <c r="B239" s="28"/>
      <c r="C239" s="28"/>
      <c r="D239" s="28"/>
      <c r="E239" s="29"/>
      <c r="F239" s="29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</row>
    <row r="240">
      <c r="B240" s="28"/>
      <c r="C240" s="28"/>
      <c r="D240" s="28"/>
      <c r="E240" s="29"/>
      <c r="F240" s="29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</row>
    <row r="241">
      <c r="B241" s="28"/>
      <c r="C241" s="28"/>
      <c r="D241" s="28"/>
      <c r="E241" s="29"/>
      <c r="F241" s="29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</row>
    <row r="242">
      <c r="B242" s="28"/>
      <c r="C242" s="28"/>
      <c r="D242" s="28"/>
      <c r="E242" s="29"/>
      <c r="F242" s="29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</row>
    <row r="243">
      <c r="B243" s="28"/>
      <c r="C243" s="28"/>
      <c r="D243" s="28"/>
      <c r="E243" s="29"/>
      <c r="F243" s="29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</row>
    <row r="244">
      <c r="B244" s="28"/>
      <c r="C244" s="28"/>
      <c r="D244" s="28"/>
      <c r="E244" s="29"/>
      <c r="F244" s="29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</row>
    <row r="245">
      <c r="B245" s="28"/>
      <c r="C245" s="28"/>
      <c r="D245" s="28"/>
      <c r="E245" s="29"/>
      <c r="F245" s="29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>
      <c r="B246" s="28"/>
      <c r="C246" s="28"/>
      <c r="D246" s="28"/>
      <c r="E246" s="29"/>
      <c r="F246" s="29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>
      <c r="B247" s="28"/>
      <c r="C247" s="28"/>
      <c r="D247" s="28"/>
      <c r="E247" s="29"/>
      <c r="F247" s="29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>
      <c r="B248" s="28"/>
      <c r="C248" s="28"/>
      <c r="D248" s="28"/>
      <c r="E248" s="29"/>
      <c r="F248" s="29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>
      <c r="B249" s="28"/>
      <c r="C249" s="28"/>
      <c r="D249" s="28"/>
      <c r="E249" s="29"/>
      <c r="F249" s="29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</row>
    <row r="250">
      <c r="B250" s="28"/>
      <c r="C250" s="28"/>
      <c r="D250" s="28"/>
      <c r="E250" s="29"/>
      <c r="F250" s="29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</row>
    <row r="251">
      <c r="B251" s="28"/>
      <c r="C251" s="28"/>
      <c r="D251" s="28"/>
      <c r="E251" s="29"/>
      <c r="F251" s="29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>
      <c r="B252" s="28"/>
      <c r="C252" s="28"/>
      <c r="D252" s="28"/>
      <c r="E252" s="29"/>
      <c r="F252" s="29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>
      <c r="B253" s="28"/>
      <c r="C253" s="28"/>
      <c r="D253" s="28"/>
      <c r="E253" s="29"/>
      <c r="F253" s="29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>
      <c r="B254" s="28"/>
      <c r="C254" s="28"/>
      <c r="D254" s="28"/>
      <c r="E254" s="29"/>
      <c r="F254" s="29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</row>
    <row r="255">
      <c r="B255" s="28"/>
      <c r="C255" s="28"/>
      <c r="D255" s="28"/>
      <c r="E255" s="29"/>
      <c r="F255" s="29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>
      <c r="B256" s="28"/>
      <c r="C256" s="28"/>
      <c r="D256" s="28"/>
      <c r="E256" s="29"/>
      <c r="F256" s="29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>
      <c r="B257" s="28"/>
      <c r="C257" s="28"/>
      <c r="D257" s="28"/>
      <c r="E257" s="29"/>
      <c r="F257" s="29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>
      <c r="B258" s="28"/>
      <c r="C258" s="28"/>
      <c r="D258" s="28"/>
      <c r="E258" s="29"/>
      <c r="F258" s="29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>
      <c r="B259" s="28"/>
      <c r="C259" s="28"/>
      <c r="D259" s="28"/>
      <c r="E259" s="29"/>
      <c r="F259" s="29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>
      <c r="B260" s="28"/>
      <c r="C260" s="28"/>
      <c r="D260" s="28"/>
      <c r="E260" s="29"/>
      <c r="F260" s="29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>
      <c r="B261" s="28"/>
      <c r="C261" s="28"/>
      <c r="D261" s="28"/>
      <c r="E261" s="29"/>
      <c r="F261" s="29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>
      <c r="B262" s="28"/>
      <c r="C262" s="28"/>
      <c r="D262" s="28"/>
      <c r="E262" s="29"/>
      <c r="F262" s="29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>
      <c r="B263" s="28"/>
      <c r="C263" s="28"/>
      <c r="D263" s="28"/>
      <c r="E263" s="29"/>
      <c r="F263" s="29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>
      <c r="B264" s="28"/>
      <c r="C264" s="28"/>
      <c r="D264" s="28"/>
      <c r="E264" s="29"/>
      <c r="F264" s="29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>
      <c r="B265" s="28"/>
      <c r="C265" s="28"/>
      <c r="D265" s="28"/>
      <c r="E265" s="29"/>
      <c r="F265" s="29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</row>
    <row r="266">
      <c r="B266" s="28"/>
      <c r="C266" s="28"/>
      <c r="D266" s="28"/>
      <c r="E266" s="29"/>
      <c r="F266" s="29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>
      <c r="B267" s="28"/>
      <c r="C267" s="28"/>
      <c r="D267" s="28"/>
      <c r="E267" s="29"/>
      <c r="F267" s="29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</row>
    <row r="268">
      <c r="B268" s="28"/>
      <c r="C268" s="28"/>
      <c r="D268" s="28"/>
      <c r="E268" s="29"/>
      <c r="F268" s="29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</row>
    <row r="269">
      <c r="B269" s="28"/>
      <c r="C269" s="28"/>
      <c r="D269" s="28"/>
      <c r="E269" s="29"/>
      <c r="F269" s="29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</row>
    <row r="270">
      <c r="B270" s="28"/>
      <c r="C270" s="28"/>
      <c r="D270" s="28"/>
      <c r="E270" s="29"/>
      <c r="F270" s="29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>
      <c r="B271" s="28"/>
      <c r="C271" s="28"/>
      <c r="D271" s="28"/>
      <c r="E271" s="29"/>
      <c r="F271" s="29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</row>
    <row r="272">
      <c r="B272" s="28"/>
      <c r="C272" s="28"/>
      <c r="D272" s="28"/>
      <c r="E272" s="29"/>
      <c r="F272" s="29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>
      <c r="B273" s="28"/>
      <c r="C273" s="28"/>
      <c r="D273" s="28"/>
      <c r="E273" s="29"/>
      <c r="F273" s="29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</row>
    <row r="274">
      <c r="B274" s="28"/>
      <c r="C274" s="28"/>
      <c r="D274" s="28"/>
      <c r="E274" s="29"/>
      <c r="F274" s="29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</row>
    <row r="275">
      <c r="B275" s="28"/>
      <c r="C275" s="28"/>
      <c r="D275" s="28"/>
      <c r="E275" s="29"/>
      <c r="F275" s="29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>
      <c r="B276" s="28"/>
      <c r="C276" s="28"/>
      <c r="D276" s="28"/>
      <c r="E276" s="29"/>
      <c r="F276" s="29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>
      <c r="B277" s="28"/>
      <c r="C277" s="28"/>
      <c r="D277" s="28"/>
      <c r="E277" s="29"/>
      <c r="F277" s="29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>
      <c r="B278" s="28"/>
      <c r="C278" s="28"/>
      <c r="D278" s="28"/>
      <c r="E278" s="29"/>
      <c r="F278" s="29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>
      <c r="B279" s="28"/>
      <c r="C279" s="28"/>
      <c r="D279" s="28"/>
      <c r="E279" s="29"/>
      <c r="F279" s="29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</row>
    <row r="280">
      <c r="B280" s="28"/>
      <c r="C280" s="28"/>
      <c r="D280" s="28"/>
      <c r="E280" s="29"/>
      <c r="F280" s="29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>
      <c r="B281" s="28"/>
      <c r="C281" s="28"/>
      <c r="D281" s="28"/>
      <c r="E281" s="29"/>
      <c r="F281" s="29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</row>
    <row r="282">
      <c r="B282" s="28"/>
      <c r="C282" s="28"/>
      <c r="D282" s="28"/>
      <c r="E282" s="29"/>
      <c r="F282" s="29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</row>
    <row r="283">
      <c r="B283" s="28"/>
      <c r="C283" s="28"/>
      <c r="D283" s="28"/>
      <c r="E283" s="29"/>
      <c r="F283" s="29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</row>
    <row r="284">
      <c r="B284" s="28"/>
      <c r="C284" s="28"/>
      <c r="D284" s="28"/>
      <c r="E284" s="29"/>
      <c r="F284" s="29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</row>
    <row r="285">
      <c r="B285" s="28"/>
      <c r="C285" s="28"/>
      <c r="D285" s="28"/>
      <c r="E285" s="29"/>
      <c r="F285" s="29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</row>
    <row r="286">
      <c r="B286" s="28"/>
      <c r="C286" s="28"/>
      <c r="D286" s="28"/>
      <c r="E286" s="29"/>
      <c r="F286" s="29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>
      <c r="B287" s="28"/>
      <c r="C287" s="28"/>
      <c r="D287" s="28"/>
      <c r="E287" s="29"/>
      <c r="F287" s="29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>
      <c r="B288" s="28"/>
      <c r="C288" s="28"/>
      <c r="D288" s="28"/>
      <c r="E288" s="29"/>
      <c r="F288" s="29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</row>
    <row r="289">
      <c r="B289" s="28"/>
      <c r="C289" s="28"/>
      <c r="D289" s="28"/>
      <c r="E289" s="29"/>
      <c r="F289" s="29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</row>
    <row r="290">
      <c r="B290" s="28"/>
      <c r="C290" s="28"/>
      <c r="D290" s="28"/>
      <c r="E290" s="29"/>
      <c r="F290" s="29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</row>
    <row r="291">
      <c r="B291" s="28"/>
      <c r="C291" s="28"/>
      <c r="D291" s="28"/>
      <c r="E291" s="29"/>
      <c r="F291" s="29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</row>
    <row r="292">
      <c r="B292" s="28"/>
      <c r="C292" s="28"/>
      <c r="D292" s="28"/>
      <c r="E292" s="29"/>
      <c r="F292" s="29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</row>
    <row r="293">
      <c r="B293" s="28"/>
      <c r="C293" s="28"/>
      <c r="D293" s="28"/>
      <c r="E293" s="29"/>
      <c r="F293" s="29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</row>
    <row r="294">
      <c r="B294" s="28"/>
      <c r="C294" s="28"/>
      <c r="D294" s="28"/>
      <c r="E294" s="29"/>
      <c r="F294" s="29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</row>
    <row r="295">
      <c r="B295" s="28"/>
      <c r="C295" s="28"/>
      <c r="D295" s="28"/>
      <c r="E295" s="29"/>
      <c r="F295" s="29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</row>
    <row r="296">
      <c r="B296" s="28"/>
      <c r="C296" s="28"/>
      <c r="D296" s="28"/>
      <c r="E296" s="29"/>
      <c r="F296" s="29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</row>
    <row r="297">
      <c r="B297" s="28"/>
      <c r="C297" s="28"/>
      <c r="D297" s="28"/>
      <c r="E297" s="29"/>
      <c r="F297" s="29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</row>
    <row r="298">
      <c r="B298" s="28"/>
      <c r="C298" s="28"/>
      <c r="D298" s="28"/>
      <c r="E298" s="29"/>
      <c r="F298" s="29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</row>
    <row r="299">
      <c r="B299" s="28"/>
      <c r="C299" s="28"/>
      <c r="D299" s="28"/>
      <c r="E299" s="29"/>
      <c r="F299" s="29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</row>
    <row r="300">
      <c r="B300" s="28"/>
      <c r="C300" s="28"/>
      <c r="D300" s="28"/>
      <c r="E300" s="29"/>
      <c r="F300" s="29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</row>
    <row r="301">
      <c r="B301" s="28"/>
      <c r="C301" s="28"/>
      <c r="D301" s="28"/>
      <c r="E301" s="29"/>
      <c r="F301" s="29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</row>
    <row r="302">
      <c r="B302" s="28"/>
      <c r="C302" s="28"/>
      <c r="D302" s="28"/>
      <c r="E302" s="29"/>
      <c r="F302" s="29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</row>
    <row r="303">
      <c r="B303" s="28"/>
      <c r="C303" s="28"/>
      <c r="D303" s="28"/>
      <c r="E303" s="29"/>
      <c r="F303" s="29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</row>
    <row r="304">
      <c r="B304" s="28"/>
      <c r="C304" s="28"/>
      <c r="D304" s="28"/>
      <c r="E304" s="29"/>
      <c r="F304" s="29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</row>
    <row r="305">
      <c r="B305" s="28"/>
      <c r="C305" s="28"/>
      <c r="D305" s="28"/>
      <c r="E305" s="29"/>
      <c r="F305" s="29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</row>
    <row r="306">
      <c r="B306" s="28"/>
      <c r="C306" s="28"/>
      <c r="D306" s="28"/>
      <c r="E306" s="29"/>
      <c r="F306" s="29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</row>
    <row r="307">
      <c r="B307" s="28"/>
      <c r="C307" s="28"/>
      <c r="D307" s="28"/>
      <c r="E307" s="29"/>
      <c r="F307" s="29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</row>
    <row r="308">
      <c r="B308" s="28"/>
      <c r="C308" s="28"/>
      <c r="D308" s="28"/>
      <c r="E308" s="29"/>
      <c r="F308" s="29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</row>
    <row r="309">
      <c r="B309" s="28"/>
      <c r="C309" s="28"/>
      <c r="D309" s="28"/>
      <c r="E309" s="29"/>
      <c r="F309" s="29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</row>
    <row r="310">
      <c r="B310" s="28"/>
      <c r="C310" s="28"/>
      <c r="D310" s="28"/>
      <c r="E310" s="29"/>
      <c r="F310" s="29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</row>
    <row r="311">
      <c r="B311" s="28"/>
      <c r="C311" s="28"/>
      <c r="D311" s="28"/>
      <c r="E311" s="29"/>
      <c r="F311" s="29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</row>
    <row r="312">
      <c r="B312" s="28"/>
      <c r="C312" s="28"/>
      <c r="D312" s="28"/>
      <c r="E312" s="29"/>
      <c r="F312" s="29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</row>
    <row r="313">
      <c r="B313" s="28"/>
      <c r="C313" s="28"/>
      <c r="D313" s="28"/>
      <c r="E313" s="29"/>
      <c r="F313" s="29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</row>
    <row r="314">
      <c r="B314" s="28"/>
      <c r="C314" s="28"/>
      <c r="D314" s="28"/>
      <c r="E314" s="29"/>
      <c r="F314" s="29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</row>
    <row r="315">
      <c r="B315" s="28"/>
      <c r="C315" s="28"/>
      <c r="D315" s="28"/>
      <c r="E315" s="29"/>
      <c r="F315" s="29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</row>
    <row r="316">
      <c r="B316" s="28"/>
      <c r="C316" s="28"/>
      <c r="D316" s="28"/>
      <c r="E316" s="29"/>
      <c r="F316" s="29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</row>
    <row r="317">
      <c r="B317" s="28"/>
      <c r="C317" s="28"/>
      <c r="D317" s="28"/>
      <c r="E317" s="29"/>
      <c r="F317" s="29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</row>
    <row r="318">
      <c r="B318" s="28"/>
      <c r="C318" s="28"/>
      <c r="D318" s="28"/>
      <c r="E318" s="29"/>
      <c r="F318" s="29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</row>
    <row r="319">
      <c r="B319" s="28"/>
      <c r="C319" s="28"/>
      <c r="D319" s="28"/>
      <c r="E319" s="29"/>
      <c r="F319" s="29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</row>
    <row r="320">
      <c r="B320" s="28"/>
      <c r="C320" s="28"/>
      <c r="D320" s="28"/>
      <c r="E320" s="29"/>
      <c r="F320" s="29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</row>
    <row r="321">
      <c r="B321" s="28"/>
      <c r="C321" s="28"/>
      <c r="D321" s="28"/>
      <c r="E321" s="29"/>
      <c r="F321" s="29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</row>
    <row r="322">
      <c r="B322" s="28"/>
      <c r="C322" s="28"/>
      <c r="D322" s="28"/>
      <c r="E322" s="29"/>
      <c r="F322" s="29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</row>
    <row r="323">
      <c r="B323" s="28"/>
      <c r="C323" s="28"/>
      <c r="D323" s="28"/>
      <c r="E323" s="29"/>
      <c r="F323" s="29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</row>
    <row r="324">
      <c r="B324" s="28"/>
      <c r="C324" s="28"/>
      <c r="D324" s="28"/>
      <c r="E324" s="29"/>
      <c r="F324" s="29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</row>
    <row r="325">
      <c r="B325" s="28"/>
      <c r="C325" s="28"/>
      <c r="D325" s="28"/>
      <c r="E325" s="29"/>
      <c r="F325" s="29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</row>
    <row r="326">
      <c r="B326" s="28"/>
      <c r="C326" s="28"/>
      <c r="D326" s="28"/>
      <c r="E326" s="29"/>
      <c r="F326" s="29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</row>
    <row r="327">
      <c r="B327" s="28"/>
      <c r="C327" s="28"/>
      <c r="D327" s="28"/>
      <c r="E327" s="29"/>
      <c r="F327" s="29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</row>
    <row r="328">
      <c r="B328" s="28"/>
      <c r="C328" s="28"/>
      <c r="D328" s="28"/>
      <c r="E328" s="29"/>
      <c r="F328" s="29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</row>
    <row r="329">
      <c r="B329" s="28"/>
      <c r="C329" s="28"/>
      <c r="D329" s="28"/>
      <c r="E329" s="29"/>
      <c r="F329" s="29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</row>
    <row r="330">
      <c r="B330" s="28"/>
      <c r="C330" s="28"/>
      <c r="D330" s="28"/>
      <c r="E330" s="29"/>
      <c r="F330" s="29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</row>
    <row r="331">
      <c r="B331" s="28"/>
      <c r="C331" s="28"/>
      <c r="D331" s="28"/>
      <c r="E331" s="29"/>
      <c r="F331" s="29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</row>
    <row r="332">
      <c r="B332" s="28"/>
      <c r="C332" s="28"/>
      <c r="D332" s="28"/>
      <c r="E332" s="29"/>
      <c r="F332" s="29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</row>
    <row r="333">
      <c r="B333" s="28"/>
      <c r="C333" s="28"/>
      <c r="D333" s="28"/>
      <c r="E333" s="29"/>
      <c r="F333" s="29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</row>
    <row r="334">
      <c r="B334" s="28"/>
      <c r="C334" s="28"/>
      <c r="D334" s="28"/>
      <c r="E334" s="29"/>
      <c r="F334" s="29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</row>
    <row r="335">
      <c r="B335" s="28"/>
      <c r="C335" s="28"/>
      <c r="D335" s="28"/>
      <c r="E335" s="29"/>
      <c r="F335" s="29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</row>
    <row r="336">
      <c r="B336" s="28"/>
      <c r="C336" s="28"/>
      <c r="D336" s="28"/>
      <c r="E336" s="29"/>
      <c r="F336" s="29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</row>
    <row r="337">
      <c r="B337" s="28"/>
      <c r="C337" s="28"/>
      <c r="D337" s="28"/>
      <c r="E337" s="29"/>
      <c r="F337" s="29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</row>
    <row r="338">
      <c r="B338" s="28"/>
      <c r="C338" s="28"/>
      <c r="D338" s="28"/>
      <c r="E338" s="29"/>
      <c r="F338" s="29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</row>
    <row r="339">
      <c r="B339" s="28"/>
      <c r="C339" s="28"/>
      <c r="D339" s="28"/>
      <c r="E339" s="29"/>
      <c r="F339" s="29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</row>
    <row r="340">
      <c r="B340" s="28"/>
      <c r="C340" s="28"/>
      <c r="D340" s="28"/>
      <c r="E340" s="29"/>
      <c r="F340" s="29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</row>
    <row r="341">
      <c r="B341" s="28"/>
      <c r="C341" s="28"/>
      <c r="D341" s="28"/>
      <c r="E341" s="29"/>
      <c r="F341" s="29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</row>
    <row r="342">
      <c r="B342" s="28"/>
      <c r="C342" s="28"/>
      <c r="D342" s="28"/>
      <c r="E342" s="29"/>
      <c r="F342" s="29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</row>
    <row r="343">
      <c r="B343" s="28"/>
      <c r="C343" s="28"/>
      <c r="D343" s="28"/>
      <c r="E343" s="29"/>
      <c r="F343" s="29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</row>
    <row r="344">
      <c r="B344" s="28"/>
      <c r="C344" s="28"/>
      <c r="D344" s="28"/>
      <c r="E344" s="29"/>
      <c r="F344" s="29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</row>
    <row r="345">
      <c r="B345" s="28"/>
      <c r="C345" s="28"/>
      <c r="D345" s="28"/>
      <c r="E345" s="29"/>
      <c r="F345" s="29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</row>
    <row r="346">
      <c r="B346" s="28"/>
      <c r="C346" s="28"/>
      <c r="D346" s="28"/>
      <c r="E346" s="29"/>
      <c r="F346" s="29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</row>
    <row r="347">
      <c r="B347" s="28"/>
      <c r="C347" s="28"/>
      <c r="D347" s="28"/>
      <c r="E347" s="29"/>
      <c r="F347" s="29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</row>
    <row r="348">
      <c r="B348" s="28"/>
      <c r="C348" s="28"/>
      <c r="D348" s="28"/>
      <c r="E348" s="29"/>
      <c r="F348" s="29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</row>
    <row r="349">
      <c r="B349" s="28"/>
      <c r="C349" s="28"/>
      <c r="D349" s="28"/>
      <c r="E349" s="29"/>
      <c r="F349" s="29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</row>
    <row r="350">
      <c r="B350" s="28"/>
      <c r="C350" s="28"/>
      <c r="D350" s="28"/>
      <c r="E350" s="29"/>
      <c r="F350" s="29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</row>
    <row r="351">
      <c r="B351" s="28"/>
      <c r="C351" s="28"/>
      <c r="D351" s="28"/>
      <c r="E351" s="29"/>
      <c r="F351" s="29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</row>
    <row r="352">
      <c r="B352" s="28"/>
      <c r="C352" s="28"/>
      <c r="D352" s="28"/>
      <c r="E352" s="29"/>
      <c r="F352" s="29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</row>
    <row r="353">
      <c r="B353" s="28"/>
      <c r="C353" s="28"/>
      <c r="D353" s="28"/>
      <c r="E353" s="29"/>
      <c r="F353" s="29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</row>
    <row r="354">
      <c r="B354" s="28"/>
      <c r="C354" s="28"/>
      <c r="D354" s="28"/>
      <c r="E354" s="29"/>
      <c r="F354" s="29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</row>
    <row r="355">
      <c r="B355" s="28"/>
      <c r="C355" s="28"/>
      <c r="D355" s="28"/>
      <c r="E355" s="29"/>
      <c r="F355" s="29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</row>
    <row r="356">
      <c r="B356" s="28"/>
      <c r="C356" s="28"/>
      <c r="D356" s="28"/>
      <c r="E356" s="29"/>
      <c r="F356" s="29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</row>
    <row r="357">
      <c r="B357" s="28"/>
      <c r="C357" s="28"/>
      <c r="D357" s="28"/>
      <c r="E357" s="29"/>
      <c r="F357" s="29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</row>
    <row r="358">
      <c r="B358" s="28"/>
      <c r="C358" s="28"/>
      <c r="D358" s="28"/>
      <c r="E358" s="29"/>
      <c r="F358" s="29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</row>
    <row r="359">
      <c r="B359" s="28"/>
      <c r="C359" s="28"/>
      <c r="D359" s="28"/>
      <c r="E359" s="29"/>
      <c r="F359" s="29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</row>
    <row r="360">
      <c r="B360" s="28"/>
      <c r="C360" s="28"/>
      <c r="D360" s="28"/>
      <c r="E360" s="29"/>
      <c r="F360" s="29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</row>
    <row r="361">
      <c r="B361" s="28"/>
      <c r="C361" s="28"/>
      <c r="D361" s="28"/>
      <c r="E361" s="29"/>
      <c r="F361" s="29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</row>
    <row r="362">
      <c r="B362" s="28"/>
      <c r="C362" s="28"/>
      <c r="D362" s="28"/>
      <c r="E362" s="29"/>
      <c r="F362" s="29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</row>
    <row r="363">
      <c r="B363" s="28"/>
      <c r="C363" s="28"/>
      <c r="D363" s="28"/>
      <c r="E363" s="29"/>
      <c r="F363" s="29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</row>
    <row r="364">
      <c r="B364" s="28"/>
      <c r="C364" s="28"/>
      <c r="D364" s="28"/>
      <c r="E364" s="29"/>
      <c r="F364" s="29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</row>
    <row r="365">
      <c r="B365" s="28"/>
      <c r="C365" s="28"/>
      <c r="D365" s="28"/>
      <c r="E365" s="29"/>
      <c r="F365" s="29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</row>
    <row r="366">
      <c r="B366" s="28"/>
      <c r="C366" s="28"/>
      <c r="D366" s="28"/>
      <c r="E366" s="29"/>
      <c r="F366" s="29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</row>
    <row r="367">
      <c r="B367" s="28"/>
      <c r="C367" s="28"/>
      <c r="D367" s="28"/>
      <c r="E367" s="29"/>
      <c r="F367" s="29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</row>
    <row r="368">
      <c r="B368" s="28"/>
      <c r="C368" s="28"/>
      <c r="D368" s="28"/>
      <c r="E368" s="29"/>
      <c r="F368" s="29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</row>
    <row r="369">
      <c r="B369" s="28"/>
      <c r="C369" s="28"/>
      <c r="D369" s="28"/>
      <c r="E369" s="29"/>
      <c r="F369" s="29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</row>
    <row r="370">
      <c r="B370" s="28"/>
      <c r="C370" s="28"/>
      <c r="D370" s="28"/>
      <c r="E370" s="29"/>
      <c r="F370" s="29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</row>
    <row r="371">
      <c r="B371" s="28"/>
      <c r="C371" s="28"/>
      <c r="D371" s="28"/>
      <c r="E371" s="29"/>
      <c r="F371" s="29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</row>
    <row r="372">
      <c r="B372" s="28"/>
      <c r="C372" s="28"/>
      <c r="D372" s="28"/>
      <c r="E372" s="29"/>
      <c r="F372" s="29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</row>
    <row r="373">
      <c r="B373" s="28"/>
      <c r="C373" s="28"/>
      <c r="D373" s="28"/>
      <c r="E373" s="29"/>
      <c r="F373" s="29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</row>
    <row r="374">
      <c r="B374" s="28"/>
      <c r="C374" s="28"/>
      <c r="D374" s="28"/>
      <c r="E374" s="29"/>
      <c r="F374" s="29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</row>
    <row r="375">
      <c r="B375" s="28"/>
      <c r="C375" s="28"/>
      <c r="D375" s="28"/>
      <c r="E375" s="29"/>
      <c r="F375" s="29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</row>
    <row r="376">
      <c r="B376" s="28"/>
      <c r="C376" s="28"/>
      <c r="D376" s="28"/>
      <c r="E376" s="29"/>
      <c r="F376" s="29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</row>
    <row r="377">
      <c r="B377" s="28"/>
      <c r="C377" s="28"/>
      <c r="D377" s="28"/>
      <c r="E377" s="29"/>
      <c r="F377" s="29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</row>
    <row r="378">
      <c r="B378" s="28"/>
      <c r="C378" s="28"/>
      <c r="D378" s="28"/>
      <c r="E378" s="29"/>
      <c r="F378" s="29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</row>
    <row r="379">
      <c r="B379" s="28"/>
      <c r="C379" s="28"/>
      <c r="D379" s="28"/>
      <c r="E379" s="29"/>
      <c r="F379" s="29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</row>
    <row r="380">
      <c r="B380" s="28"/>
      <c r="C380" s="28"/>
      <c r="D380" s="28"/>
      <c r="E380" s="29"/>
      <c r="F380" s="29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</row>
    <row r="381">
      <c r="B381" s="28"/>
      <c r="C381" s="28"/>
      <c r="D381" s="28"/>
      <c r="E381" s="29"/>
      <c r="F381" s="29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</row>
    <row r="382">
      <c r="B382" s="28"/>
      <c r="C382" s="28"/>
      <c r="D382" s="28"/>
      <c r="E382" s="29"/>
      <c r="F382" s="29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</row>
    <row r="383">
      <c r="B383" s="28"/>
      <c r="C383" s="28"/>
      <c r="D383" s="28"/>
      <c r="E383" s="29"/>
      <c r="F383" s="29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</row>
    <row r="384">
      <c r="B384" s="28"/>
      <c r="C384" s="28"/>
      <c r="D384" s="28"/>
      <c r="E384" s="29"/>
      <c r="F384" s="29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</row>
    <row r="385">
      <c r="B385" s="28"/>
      <c r="C385" s="28"/>
      <c r="D385" s="28"/>
      <c r="E385" s="29"/>
      <c r="F385" s="29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</row>
    <row r="386">
      <c r="B386" s="28"/>
      <c r="C386" s="28"/>
      <c r="D386" s="28"/>
      <c r="E386" s="29"/>
      <c r="F386" s="29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</row>
    <row r="387">
      <c r="B387" s="28"/>
      <c r="C387" s="28"/>
      <c r="D387" s="28"/>
      <c r="E387" s="29"/>
      <c r="F387" s="29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</row>
    <row r="388">
      <c r="B388" s="28"/>
      <c r="C388" s="28"/>
      <c r="D388" s="28"/>
      <c r="E388" s="29"/>
      <c r="F388" s="29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</row>
    <row r="389">
      <c r="B389" s="28"/>
      <c r="C389" s="28"/>
      <c r="D389" s="28"/>
      <c r="E389" s="29"/>
      <c r="F389" s="29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</row>
    <row r="390">
      <c r="B390" s="28"/>
      <c r="C390" s="28"/>
      <c r="D390" s="28"/>
      <c r="E390" s="29"/>
      <c r="F390" s="29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</row>
    <row r="391">
      <c r="B391" s="28"/>
      <c r="C391" s="28"/>
      <c r="D391" s="28"/>
      <c r="E391" s="29"/>
      <c r="F391" s="29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</row>
    <row r="392">
      <c r="B392" s="28"/>
      <c r="C392" s="28"/>
      <c r="D392" s="28"/>
      <c r="E392" s="29"/>
      <c r="F392" s="29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</row>
    <row r="393">
      <c r="B393" s="28"/>
      <c r="C393" s="28"/>
      <c r="D393" s="28"/>
      <c r="E393" s="29"/>
      <c r="F393" s="29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</row>
    <row r="394">
      <c r="B394" s="28"/>
      <c r="C394" s="28"/>
      <c r="D394" s="28"/>
      <c r="E394" s="29"/>
      <c r="F394" s="29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</row>
    <row r="395">
      <c r="B395" s="28"/>
      <c r="C395" s="28"/>
      <c r="D395" s="28"/>
      <c r="E395" s="29"/>
      <c r="F395" s="29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</row>
    <row r="396">
      <c r="B396" s="28"/>
      <c r="C396" s="28"/>
      <c r="D396" s="28"/>
      <c r="E396" s="29"/>
      <c r="F396" s="29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</row>
    <row r="397">
      <c r="B397" s="28"/>
      <c r="C397" s="28"/>
      <c r="D397" s="28"/>
      <c r="E397" s="29"/>
      <c r="F397" s="29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</row>
    <row r="398">
      <c r="B398" s="28"/>
      <c r="C398" s="28"/>
      <c r="D398" s="28"/>
      <c r="E398" s="29"/>
      <c r="F398" s="29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</row>
    <row r="399">
      <c r="B399" s="28"/>
      <c r="C399" s="28"/>
      <c r="D399" s="28"/>
      <c r="E399" s="29"/>
      <c r="F399" s="29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</row>
    <row r="400">
      <c r="B400" s="28"/>
      <c r="C400" s="28"/>
      <c r="D400" s="28"/>
      <c r="E400" s="29"/>
      <c r="F400" s="29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</row>
    <row r="401">
      <c r="B401" s="28"/>
      <c r="C401" s="28"/>
      <c r="D401" s="28"/>
      <c r="E401" s="29"/>
      <c r="F401" s="29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</row>
    <row r="402">
      <c r="B402" s="28"/>
      <c r="C402" s="28"/>
      <c r="D402" s="28"/>
      <c r="E402" s="29"/>
      <c r="F402" s="29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</row>
    <row r="403">
      <c r="B403" s="28"/>
      <c r="C403" s="28"/>
      <c r="D403" s="28"/>
      <c r="E403" s="29"/>
      <c r="F403" s="29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</row>
    <row r="404">
      <c r="B404" s="28"/>
      <c r="C404" s="28"/>
      <c r="D404" s="28"/>
      <c r="E404" s="29"/>
      <c r="F404" s="29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</row>
    <row r="405">
      <c r="B405" s="28"/>
      <c r="C405" s="28"/>
      <c r="D405" s="28"/>
      <c r="E405" s="29"/>
      <c r="F405" s="29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</row>
    <row r="406">
      <c r="B406" s="28"/>
      <c r="C406" s="28"/>
      <c r="D406" s="28"/>
      <c r="E406" s="29"/>
      <c r="F406" s="29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</row>
    <row r="407">
      <c r="B407" s="28"/>
      <c r="C407" s="28"/>
      <c r="D407" s="28"/>
      <c r="E407" s="29"/>
      <c r="F407" s="29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</row>
    <row r="408">
      <c r="B408" s="28"/>
      <c r="C408" s="28"/>
      <c r="D408" s="28"/>
      <c r="E408" s="29"/>
      <c r="F408" s="29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</row>
    <row r="409">
      <c r="B409" s="28"/>
      <c r="C409" s="28"/>
      <c r="D409" s="28"/>
      <c r="E409" s="29"/>
      <c r="F409" s="29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</row>
    <row r="410">
      <c r="B410" s="28"/>
      <c r="C410" s="28"/>
      <c r="D410" s="28"/>
      <c r="E410" s="29"/>
      <c r="F410" s="29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</row>
    <row r="411">
      <c r="B411" s="28"/>
      <c r="C411" s="28"/>
      <c r="D411" s="28"/>
      <c r="E411" s="29"/>
      <c r="F411" s="29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</row>
    <row r="412">
      <c r="B412" s="28"/>
      <c r="C412" s="28"/>
      <c r="D412" s="28"/>
      <c r="E412" s="29"/>
      <c r="F412" s="29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</row>
    <row r="413">
      <c r="B413" s="28"/>
      <c r="C413" s="28"/>
      <c r="D413" s="28"/>
      <c r="E413" s="29"/>
      <c r="F413" s="29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</row>
    <row r="414">
      <c r="B414" s="28"/>
      <c r="C414" s="28"/>
      <c r="D414" s="28"/>
      <c r="E414" s="29"/>
      <c r="F414" s="29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</row>
    <row r="415">
      <c r="B415" s="28"/>
      <c r="C415" s="28"/>
      <c r="D415" s="28"/>
      <c r="E415" s="29"/>
      <c r="F415" s="29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</row>
    <row r="416">
      <c r="B416" s="28"/>
      <c r="C416" s="28"/>
      <c r="D416" s="28"/>
      <c r="E416" s="29"/>
      <c r="F416" s="29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</row>
    <row r="417">
      <c r="B417" s="28"/>
      <c r="C417" s="28"/>
      <c r="D417" s="28"/>
      <c r="E417" s="29"/>
      <c r="F417" s="29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</row>
    <row r="418">
      <c r="B418" s="28"/>
      <c r="C418" s="28"/>
      <c r="D418" s="28"/>
      <c r="E418" s="29"/>
      <c r="F418" s="29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</row>
    <row r="419">
      <c r="B419" s="28"/>
      <c r="C419" s="28"/>
      <c r="D419" s="28"/>
      <c r="E419" s="29"/>
      <c r="F419" s="29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</row>
    <row r="420">
      <c r="B420" s="28"/>
      <c r="C420" s="28"/>
      <c r="D420" s="28"/>
      <c r="E420" s="29"/>
      <c r="F420" s="29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</row>
    <row r="421">
      <c r="B421" s="28"/>
      <c r="C421" s="28"/>
      <c r="D421" s="28"/>
      <c r="E421" s="29"/>
      <c r="F421" s="29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</row>
    <row r="422">
      <c r="B422" s="28"/>
      <c r="C422" s="28"/>
      <c r="D422" s="28"/>
      <c r="E422" s="29"/>
      <c r="F422" s="29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</row>
    <row r="423">
      <c r="B423" s="28"/>
      <c r="C423" s="28"/>
      <c r="D423" s="28"/>
      <c r="E423" s="29"/>
      <c r="F423" s="29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</row>
    <row r="424">
      <c r="B424" s="28"/>
      <c r="C424" s="28"/>
      <c r="D424" s="28"/>
      <c r="E424" s="29"/>
      <c r="F424" s="29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</row>
    <row r="425">
      <c r="B425" s="28"/>
      <c r="C425" s="28"/>
      <c r="D425" s="28"/>
      <c r="E425" s="29"/>
      <c r="F425" s="29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</row>
    <row r="426">
      <c r="B426" s="28"/>
      <c r="C426" s="28"/>
      <c r="D426" s="28"/>
      <c r="E426" s="29"/>
      <c r="F426" s="29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</row>
    <row r="427">
      <c r="B427" s="28"/>
      <c r="C427" s="28"/>
      <c r="D427" s="28"/>
      <c r="E427" s="29"/>
      <c r="F427" s="29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</row>
    <row r="428">
      <c r="B428" s="28"/>
      <c r="C428" s="28"/>
      <c r="D428" s="28"/>
      <c r="E428" s="29"/>
      <c r="F428" s="29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</row>
    <row r="429">
      <c r="B429" s="28"/>
      <c r="C429" s="28"/>
      <c r="D429" s="28"/>
      <c r="E429" s="29"/>
      <c r="F429" s="29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</row>
    <row r="430">
      <c r="B430" s="28"/>
      <c r="C430" s="28"/>
      <c r="D430" s="28"/>
      <c r="E430" s="29"/>
      <c r="F430" s="29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</row>
    <row r="431">
      <c r="B431" s="28"/>
      <c r="C431" s="28"/>
      <c r="D431" s="28"/>
      <c r="E431" s="29"/>
      <c r="F431" s="29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</row>
    <row r="432">
      <c r="B432" s="28"/>
      <c r="C432" s="28"/>
      <c r="D432" s="28"/>
      <c r="E432" s="29"/>
      <c r="F432" s="29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</row>
    <row r="433">
      <c r="B433" s="28"/>
      <c r="C433" s="28"/>
      <c r="D433" s="28"/>
      <c r="E433" s="29"/>
      <c r="F433" s="29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</row>
    <row r="434">
      <c r="B434" s="28"/>
      <c r="C434" s="28"/>
      <c r="D434" s="28"/>
      <c r="E434" s="29"/>
      <c r="F434" s="29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</row>
    <row r="435">
      <c r="B435" s="28"/>
      <c r="C435" s="28"/>
      <c r="D435" s="28"/>
      <c r="E435" s="29"/>
      <c r="F435" s="29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</row>
    <row r="436">
      <c r="B436" s="28"/>
      <c r="C436" s="28"/>
      <c r="D436" s="28"/>
      <c r="E436" s="29"/>
      <c r="F436" s="29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</row>
    <row r="437">
      <c r="B437" s="28"/>
      <c r="C437" s="28"/>
      <c r="D437" s="28"/>
      <c r="E437" s="29"/>
      <c r="F437" s="29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</row>
    <row r="438">
      <c r="B438" s="28"/>
      <c r="C438" s="28"/>
      <c r="D438" s="28"/>
      <c r="E438" s="29"/>
      <c r="F438" s="29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</row>
    <row r="439">
      <c r="B439" s="28"/>
      <c r="C439" s="28"/>
      <c r="D439" s="28"/>
      <c r="E439" s="29"/>
      <c r="F439" s="29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</row>
    <row r="440">
      <c r="B440" s="28"/>
      <c r="C440" s="28"/>
      <c r="D440" s="28"/>
      <c r="E440" s="29"/>
      <c r="F440" s="29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</row>
    <row r="441">
      <c r="B441" s="28"/>
      <c r="C441" s="28"/>
      <c r="D441" s="28"/>
      <c r="E441" s="29"/>
      <c r="F441" s="29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</row>
    <row r="442">
      <c r="B442" s="28"/>
      <c r="C442" s="28"/>
      <c r="D442" s="28"/>
      <c r="E442" s="29"/>
      <c r="F442" s="29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</row>
    <row r="443">
      <c r="B443" s="28"/>
      <c r="C443" s="28"/>
      <c r="D443" s="28"/>
      <c r="E443" s="29"/>
      <c r="F443" s="29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</row>
    <row r="444">
      <c r="B444" s="28"/>
      <c r="C444" s="28"/>
      <c r="D444" s="28"/>
      <c r="E444" s="29"/>
      <c r="F444" s="29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</row>
    <row r="445">
      <c r="B445" s="28"/>
      <c r="C445" s="28"/>
      <c r="D445" s="28"/>
      <c r="E445" s="29"/>
      <c r="F445" s="29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</row>
    <row r="446">
      <c r="B446" s="28"/>
      <c r="C446" s="28"/>
      <c r="D446" s="28"/>
      <c r="E446" s="29"/>
      <c r="F446" s="29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</row>
    <row r="447">
      <c r="B447" s="28"/>
      <c r="C447" s="28"/>
      <c r="D447" s="28"/>
      <c r="E447" s="29"/>
      <c r="F447" s="29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</row>
    <row r="448">
      <c r="B448" s="28"/>
      <c r="C448" s="28"/>
      <c r="D448" s="28"/>
      <c r="E448" s="29"/>
      <c r="F448" s="29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</row>
    <row r="449">
      <c r="B449" s="28"/>
      <c r="C449" s="28"/>
      <c r="D449" s="28"/>
      <c r="E449" s="29"/>
      <c r="F449" s="29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</row>
    <row r="450">
      <c r="B450" s="28"/>
      <c r="C450" s="28"/>
      <c r="D450" s="28"/>
      <c r="E450" s="29"/>
      <c r="F450" s="29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</row>
    <row r="451">
      <c r="B451" s="28"/>
      <c r="C451" s="28"/>
      <c r="D451" s="28"/>
      <c r="E451" s="29"/>
      <c r="F451" s="29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</row>
    <row r="452">
      <c r="B452" s="28"/>
      <c r="C452" s="28"/>
      <c r="D452" s="28"/>
      <c r="E452" s="29"/>
      <c r="F452" s="29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</row>
    <row r="453">
      <c r="B453" s="28"/>
      <c r="C453" s="28"/>
      <c r="D453" s="28"/>
      <c r="E453" s="29"/>
      <c r="F453" s="29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</row>
    <row r="454">
      <c r="B454" s="28"/>
      <c r="C454" s="28"/>
      <c r="D454" s="28"/>
      <c r="E454" s="29"/>
      <c r="F454" s="29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</row>
    <row r="455">
      <c r="B455" s="28"/>
      <c r="C455" s="28"/>
      <c r="D455" s="28"/>
      <c r="E455" s="29"/>
      <c r="F455" s="29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</row>
    <row r="456">
      <c r="B456" s="28"/>
      <c r="C456" s="28"/>
      <c r="D456" s="28"/>
      <c r="E456" s="29"/>
      <c r="F456" s="29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</row>
    <row r="457">
      <c r="B457" s="28"/>
      <c r="C457" s="28"/>
      <c r="D457" s="28"/>
      <c r="E457" s="29"/>
      <c r="F457" s="29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</row>
    <row r="458">
      <c r="B458" s="28"/>
      <c r="C458" s="28"/>
      <c r="D458" s="28"/>
      <c r="E458" s="29"/>
      <c r="F458" s="29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</row>
    <row r="459">
      <c r="B459" s="28"/>
      <c r="C459" s="28"/>
      <c r="D459" s="28"/>
      <c r="E459" s="29"/>
      <c r="F459" s="29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</row>
    <row r="460">
      <c r="B460" s="28"/>
      <c r="C460" s="28"/>
      <c r="D460" s="28"/>
      <c r="E460" s="29"/>
      <c r="F460" s="29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</row>
    <row r="461">
      <c r="B461" s="28"/>
      <c r="C461" s="28"/>
      <c r="D461" s="28"/>
      <c r="E461" s="29"/>
      <c r="F461" s="29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</row>
    <row r="462">
      <c r="B462" s="28"/>
      <c r="C462" s="28"/>
      <c r="D462" s="28"/>
      <c r="E462" s="29"/>
      <c r="F462" s="29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</row>
    <row r="463">
      <c r="B463" s="28"/>
      <c r="C463" s="28"/>
      <c r="D463" s="28"/>
      <c r="E463" s="29"/>
      <c r="F463" s="29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</row>
    <row r="464">
      <c r="B464" s="28"/>
      <c r="C464" s="28"/>
      <c r="D464" s="28"/>
      <c r="E464" s="29"/>
      <c r="F464" s="29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</row>
    <row r="465">
      <c r="B465" s="28"/>
      <c r="C465" s="28"/>
      <c r="D465" s="28"/>
      <c r="E465" s="29"/>
      <c r="F465" s="29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</row>
    <row r="466">
      <c r="B466" s="28"/>
      <c r="C466" s="28"/>
      <c r="D466" s="28"/>
      <c r="E466" s="29"/>
      <c r="F466" s="29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</row>
    <row r="467">
      <c r="B467" s="28"/>
      <c r="C467" s="28"/>
      <c r="D467" s="28"/>
      <c r="E467" s="29"/>
      <c r="F467" s="29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</row>
    <row r="468">
      <c r="B468" s="28"/>
      <c r="C468" s="28"/>
      <c r="D468" s="28"/>
      <c r="E468" s="29"/>
      <c r="F468" s="29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</row>
    <row r="469">
      <c r="B469" s="28"/>
      <c r="C469" s="28"/>
      <c r="D469" s="28"/>
      <c r="E469" s="29"/>
      <c r="F469" s="29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</row>
    <row r="470">
      <c r="B470" s="28"/>
      <c r="C470" s="28"/>
      <c r="D470" s="28"/>
      <c r="E470" s="29"/>
      <c r="F470" s="29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</row>
    <row r="471">
      <c r="B471" s="28"/>
      <c r="C471" s="28"/>
      <c r="D471" s="28"/>
      <c r="E471" s="29"/>
      <c r="F471" s="29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</row>
    <row r="472">
      <c r="B472" s="28"/>
      <c r="C472" s="28"/>
      <c r="D472" s="28"/>
      <c r="E472" s="29"/>
      <c r="F472" s="29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</row>
    <row r="473">
      <c r="B473" s="28"/>
      <c r="C473" s="28"/>
      <c r="D473" s="28"/>
      <c r="E473" s="29"/>
      <c r="F473" s="29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</row>
    <row r="474">
      <c r="B474" s="28"/>
      <c r="C474" s="28"/>
      <c r="D474" s="28"/>
      <c r="E474" s="29"/>
      <c r="F474" s="29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</row>
    <row r="475">
      <c r="B475" s="28"/>
      <c r="C475" s="28"/>
      <c r="D475" s="28"/>
      <c r="E475" s="29"/>
      <c r="F475" s="29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</row>
    <row r="476">
      <c r="B476" s="28"/>
      <c r="C476" s="28"/>
      <c r="D476" s="28"/>
      <c r="E476" s="29"/>
      <c r="F476" s="29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</row>
    <row r="477">
      <c r="B477" s="28"/>
      <c r="C477" s="28"/>
      <c r="D477" s="28"/>
      <c r="E477" s="29"/>
      <c r="F477" s="29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</row>
    <row r="478">
      <c r="B478" s="28"/>
      <c r="C478" s="28"/>
      <c r="D478" s="28"/>
      <c r="E478" s="29"/>
      <c r="F478" s="29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</row>
    <row r="479">
      <c r="B479" s="28"/>
      <c r="C479" s="28"/>
      <c r="D479" s="28"/>
      <c r="E479" s="29"/>
      <c r="F479" s="29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</row>
    <row r="480">
      <c r="B480" s="28"/>
      <c r="C480" s="28"/>
      <c r="D480" s="28"/>
      <c r="E480" s="29"/>
      <c r="F480" s="29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</row>
    <row r="481">
      <c r="B481" s="28"/>
      <c r="C481" s="28"/>
      <c r="D481" s="28"/>
      <c r="E481" s="29"/>
      <c r="F481" s="29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</row>
    <row r="482">
      <c r="B482" s="28"/>
      <c r="C482" s="28"/>
      <c r="D482" s="28"/>
      <c r="E482" s="29"/>
      <c r="F482" s="29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</row>
    <row r="483">
      <c r="B483" s="28"/>
      <c r="C483" s="28"/>
      <c r="D483" s="28"/>
      <c r="E483" s="29"/>
      <c r="F483" s="29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</row>
    <row r="484">
      <c r="B484" s="28"/>
      <c r="C484" s="28"/>
      <c r="D484" s="28"/>
      <c r="E484" s="29"/>
      <c r="F484" s="29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</row>
  </sheetData>
  <mergeCells count="20">
    <mergeCell ref="G2:G3"/>
    <mergeCell ref="H2:H3"/>
    <mergeCell ref="I2:I3"/>
    <mergeCell ref="J2:J3"/>
    <mergeCell ref="K2:K3"/>
    <mergeCell ref="L2:N2"/>
    <mergeCell ref="O2:O3"/>
    <mergeCell ref="P2:P3"/>
    <mergeCell ref="Q2:Q3"/>
    <mergeCell ref="R2:R3"/>
    <mergeCell ref="S2:S3"/>
    <mergeCell ref="T2:T3"/>
    <mergeCell ref="A1:U1"/>
    <mergeCell ref="A2:A3"/>
    <mergeCell ref="B2:B3"/>
    <mergeCell ref="C2:C3"/>
    <mergeCell ref="D2:D3"/>
    <mergeCell ref="E2:E3"/>
    <mergeCell ref="F2:F3"/>
    <mergeCell ref="U2:U3"/>
  </mergeCells>
  <drawing r:id="rId2"/>
  <legacyDrawing r:id="rId3"/>
</worksheet>
</file>