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ate1904="1"/>
  <mc:AlternateContent xmlns:mc="http://schemas.openxmlformats.org/markup-compatibility/2006">
    <mc:Choice Requires="x15">
      <x15ac:absPath xmlns:x15ac="http://schemas.microsoft.com/office/spreadsheetml/2010/11/ac" url="C:\Users\Thiago Brito\Desktop\Meu PF\"/>
    </mc:Choice>
  </mc:AlternateContent>
  <xr:revisionPtr revIDLastSave="0" documentId="8_{B1CE7852-02FB-41BF-9A6C-1FAB3F75EA5B}" xr6:coauthVersionLast="45" xr6:coauthVersionMax="45" xr10:uidLastSave="{00000000-0000-0000-0000-000000000000}"/>
  <bookViews>
    <workbookView xWindow="-120" yWindow="-120" windowWidth="38640" windowHeight="15840" activeTab="6"/>
  </bookViews>
  <sheets>
    <sheet name="Chart1" sheetId="1" r:id="rId1"/>
    <sheet name="Chart2" sheetId="2" r:id="rId2"/>
    <sheet name="Chart3" sheetId="3" r:id="rId3"/>
    <sheet name="Sheet17" sheetId="4" r:id="rId4"/>
    <sheet name="Implied Premiums" sheetId="5" r:id="rId5"/>
    <sheet name="implpremvsriskfree" sheetId="22" r:id="rId6"/>
    <sheet name="Historical Impl Premiums" sheetId="6" r:id="rId7"/>
    <sheet name="Sheet2" sheetId="7" r:id="rId8"/>
    <sheet name="Sheet3" sheetId="8" r:id="rId9"/>
    <sheet name="Sheet4" sheetId="9" r:id="rId10"/>
    <sheet name="Sheet5" sheetId="10" r:id="rId11"/>
    <sheet name="Sheet6" sheetId="11" r:id="rId12"/>
    <sheet name="Sheet7" sheetId="12" r:id="rId13"/>
    <sheet name="Sheet8" sheetId="13" r:id="rId14"/>
    <sheet name="Sheet9" sheetId="14" r:id="rId15"/>
    <sheet name="Sheet10" sheetId="15" r:id="rId16"/>
    <sheet name="Sheet11" sheetId="16" r:id="rId17"/>
    <sheet name="Sheet12" sheetId="17" r:id="rId18"/>
    <sheet name="Sheet13" sheetId="18" r:id="rId19"/>
    <sheet name="Sheet14" sheetId="19" r:id="rId20"/>
    <sheet name="Sheet15" sheetId="20" r:id="rId21"/>
    <sheet name="Sheet16" sheetId="21" r:id="rId22"/>
  </sheets>
  <definedNames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7" i="6" l="1"/>
  <c r="M67" i="6"/>
  <c r="L67" i="6"/>
  <c r="I67" i="6"/>
  <c r="H67" i="6"/>
  <c r="C67" i="6"/>
  <c r="C66" i="6"/>
  <c r="B67" i="6"/>
  <c r="R66" i="6"/>
  <c r="L66" i="6"/>
  <c r="I66" i="6"/>
  <c r="M66" i="6"/>
  <c r="H66" i="6"/>
  <c r="B66" i="6"/>
  <c r="R65" i="6"/>
  <c r="L65" i="6"/>
  <c r="I65" i="6"/>
  <c r="M65" i="6"/>
  <c r="H65" i="6"/>
  <c r="C65" i="6"/>
  <c r="B65" i="6"/>
  <c r="R64" i="6"/>
  <c r="I64" i="6"/>
  <c r="M64" i="6"/>
  <c r="L64" i="6"/>
  <c r="H64" i="6"/>
  <c r="C64" i="6"/>
  <c r="B64" i="6"/>
  <c r="R63" i="6"/>
  <c r="P9" i="6"/>
  <c r="P10" i="6"/>
  <c r="P11" i="6"/>
  <c r="R11" i="6"/>
  <c r="P12" i="6"/>
  <c r="P13" i="6"/>
  <c r="P14" i="6"/>
  <c r="P15" i="6"/>
  <c r="P16" i="6"/>
  <c r="P17" i="6"/>
  <c r="P18" i="6"/>
  <c r="P19" i="6"/>
  <c r="R19" i="6"/>
  <c r="P20" i="6"/>
  <c r="R20" i="6"/>
  <c r="P21" i="6"/>
  <c r="P22" i="6"/>
  <c r="P23" i="6"/>
  <c r="P24" i="6"/>
  <c r="P25" i="6"/>
  <c r="P26" i="6"/>
  <c r="R26" i="6"/>
  <c r="P27" i="6"/>
  <c r="R27" i="6"/>
  <c r="P28" i="6"/>
  <c r="P29" i="6"/>
  <c r="R29" i="6"/>
  <c r="P30" i="6"/>
  <c r="R30" i="6"/>
  <c r="P31" i="6"/>
  <c r="R31" i="6"/>
  <c r="P32" i="6"/>
  <c r="I63" i="6"/>
  <c r="M63" i="6"/>
  <c r="L63" i="6"/>
  <c r="H63" i="6"/>
  <c r="C63" i="6"/>
  <c r="C62" i="6"/>
  <c r="B63" i="6"/>
  <c r="B62" i="6"/>
  <c r="B61" i="6"/>
  <c r="R62" i="6"/>
  <c r="L62" i="6"/>
  <c r="I62" i="6"/>
  <c r="M62" i="6"/>
  <c r="H62" i="6"/>
  <c r="R61" i="6"/>
  <c r="L61" i="6"/>
  <c r="I61" i="6"/>
  <c r="M61" i="6"/>
  <c r="H61" i="6"/>
  <c r="R60" i="6"/>
  <c r="I60" i="6"/>
  <c r="M60" i="6"/>
  <c r="L60" i="6"/>
  <c r="H60" i="6"/>
  <c r="C60" i="6"/>
  <c r="B60" i="6"/>
  <c r="R59" i="6"/>
  <c r="L59" i="6"/>
  <c r="I59" i="6"/>
  <c r="M59" i="6"/>
  <c r="H59" i="6"/>
  <c r="C59" i="6"/>
  <c r="B59" i="6"/>
  <c r="R58" i="6"/>
  <c r="L58" i="6"/>
  <c r="I58" i="6"/>
  <c r="M58" i="6"/>
  <c r="C58" i="6"/>
  <c r="B58" i="6"/>
  <c r="H58" i="6"/>
  <c r="R57" i="6"/>
  <c r="L57" i="6"/>
  <c r="I57" i="6"/>
  <c r="M57" i="6"/>
  <c r="H57" i="6"/>
  <c r="C57" i="6"/>
  <c r="B57" i="6"/>
  <c r="I56" i="6"/>
  <c r="M56" i="6"/>
  <c r="H56" i="6"/>
  <c r="B56" i="6"/>
  <c r="C56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28" i="6"/>
  <c r="R25" i="6"/>
  <c r="R24" i="6"/>
  <c r="R23" i="6"/>
  <c r="R22" i="6"/>
  <c r="R21" i="6"/>
  <c r="R18" i="6"/>
  <c r="R17" i="6"/>
  <c r="R16" i="6"/>
  <c r="R15" i="6"/>
  <c r="R14" i="6"/>
  <c r="R13" i="6"/>
  <c r="R12" i="6"/>
  <c r="R10" i="6"/>
  <c r="R9" i="6"/>
  <c r="L56" i="6"/>
  <c r="L55" i="6"/>
  <c r="I55" i="6"/>
  <c r="M55" i="6"/>
  <c r="H55" i="6"/>
  <c r="B55" i="6"/>
  <c r="C55" i="6"/>
  <c r="I54" i="6"/>
  <c r="M54" i="6"/>
  <c r="L54" i="6"/>
  <c r="H54" i="6"/>
  <c r="C54" i="6"/>
  <c r="B54" i="6"/>
  <c r="I53" i="6"/>
  <c r="M53" i="6"/>
  <c r="H53" i="6"/>
  <c r="C53" i="6"/>
  <c r="L53" i="6"/>
  <c r="I52" i="6"/>
  <c r="M52" i="6"/>
  <c r="H52" i="6"/>
  <c r="C52" i="6"/>
  <c r="B52" i="6"/>
  <c r="L52" i="6"/>
  <c r="I51" i="6"/>
  <c r="M51" i="6"/>
  <c r="L51" i="6"/>
  <c r="H51" i="6"/>
  <c r="C49" i="6"/>
  <c r="F49" i="6"/>
  <c r="I50" i="6"/>
  <c r="M50" i="6"/>
  <c r="B49" i="6"/>
  <c r="H50" i="6"/>
  <c r="B50" i="6"/>
  <c r="C50" i="6"/>
  <c r="L50" i="6"/>
  <c r="L49" i="6"/>
  <c r="C48" i="6"/>
  <c r="F48" i="6"/>
  <c r="I48" i="6"/>
  <c r="M48" i="6"/>
  <c r="B48" i="6"/>
  <c r="H49" i="6"/>
  <c r="L48" i="6"/>
  <c r="L47" i="6"/>
  <c r="C47" i="6"/>
  <c r="F47" i="6"/>
  <c r="I47" i="6"/>
  <c r="M47" i="6"/>
  <c r="C46" i="6"/>
  <c r="F46" i="6"/>
  <c r="I46" i="6"/>
  <c r="M46" i="6"/>
  <c r="B47" i="6"/>
  <c r="H48" i="6"/>
  <c r="B46" i="6"/>
  <c r="H47" i="6"/>
  <c r="C45" i="6"/>
  <c r="F45" i="6"/>
  <c r="I45" i="6"/>
  <c r="M45" i="6"/>
  <c r="L46" i="6"/>
  <c r="B45" i="6"/>
  <c r="H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F44" i="6"/>
  <c r="I44" i="6"/>
  <c r="M44" i="6"/>
  <c r="H45" i="6"/>
  <c r="F43" i="6"/>
  <c r="F42" i="6"/>
  <c r="I43" i="6"/>
  <c r="M43" i="6"/>
  <c r="F41" i="6"/>
  <c r="I41" i="6"/>
  <c r="M41" i="6"/>
  <c r="F40" i="6"/>
  <c r="F39" i="6"/>
  <c r="I40" i="6"/>
  <c r="M40" i="6"/>
  <c r="I39" i="6"/>
  <c r="M39" i="6"/>
  <c r="F38" i="6"/>
  <c r="F37" i="6"/>
  <c r="I38" i="6"/>
  <c r="M38" i="6"/>
  <c r="F36" i="6"/>
  <c r="I36" i="6"/>
  <c r="M36" i="6"/>
  <c r="I37" i="6"/>
  <c r="M37" i="6"/>
  <c r="F35" i="6"/>
  <c r="I35" i="6"/>
  <c r="M35" i="6"/>
  <c r="F34" i="6"/>
  <c r="F33" i="6"/>
  <c r="I33" i="6"/>
  <c r="M33" i="6"/>
  <c r="F32" i="6"/>
  <c r="F31" i="6"/>
  <c r="I31" i="6"/>
  <c r="M31" i="6"/>
  <c r="I32" i="6"/>
  <c r="M32" i="6"/>
  <c r="F30" i="6"/>
  <c r="I30" i="6"/>
  <c r="M30" i="6"/>
  <c r="F29" i="6"/>
  <c r="F28" i="6"/>
  <c r="F27" i="6"/>
  <c r="I27" i="6"/>
  <c r="M27" i="6"/>
  <c r="F26" i="6"/>
  <c r="I26" i="6"/>
  <c r="M26" i="6"/>
  <c r="F25" i="6"/>
  <c r="I25" i="6"/>
  <c r="M25" i="6"/>
  <c r="F24" i="6"/>
  <c r="I24" i="6"/>
  <c r="M24" i="6"/>
  <c r="F23" i="6"/>
  <c r="I23" i="6"/>
  <c r="M23" i="6"/>
  <c r="F22" i="6"/>
  <c r="I22" i="6"/>
  <c r="M22" i="6"/>
  <c r="F21" i="6"/>
  <c r="I21" i="6"/>
  <c r="M21" i="6"/>
  <c r="F20" i="6"/>
  <c r="F19" i="6"/>
  <c r="I20" i="6"/>
  <c r="M20" i="6"/>
  <c r="F18" i="6"/>
  <c r="I19" i="6"/>
  <c r="M19" i="6"/>
  <c r="I18" i="6"/>
  <c r="M18" i="6"/>
  <c r="F17" i="6"/>
  <c r="I17" i="6"/>
  <c r="M17" i="6"/>
  <c r="F16" i="6"/>
  <c r="I16" i="6"/>
  <c r="M16" i="6"/>
  <c r="F15" i="6"/>
  <c r="I15" i="6"/>
  <c r="M15" i="6"/>
  <c r="F14" i="6"/>
  <c r="F13" i="6"/>
  <c r="I14" i="6"/>
  <c r="M14" i="6"/>
  <c r="F12" i="6"/>
  <c r="I13" i="6"/>
  <c r="M13" i="6"/>
  <c r="F11" i="6"/>
  <c r="F10" i="6"/>
  <c r="I11" i="6"/>
  <c r="M11" i="6"/>
  <c r="F9" i="6"/>
  <c r="I9" i="6"/>
  <c r="M9" i="6"/>
  <c r="F8" i="6"/>
  <c r="M8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44" i="6"/>
  <c r="I12" i="6"/>
  <c r="M12" i="6"/>
  <c r="I29" i="6"/>
  <c r="M29" i="6"/>
  <c r="I10" i="6"/>
  <c r="M10" i="6"/>
  <c r="I28" i="6"/>
  <c r="M28" i="6"/>
  <c r="I42" i="6"/>
  <c r="M42" i="6"/>
  <c r="I49" i="6"/>
  <c r="M49" i="6"/>
  <c r="I34" i="6"/>
  <c r="M34" i="6"/>
</calcChain>
</file>

<file path=xl/sharedStrings.xml><?xml version="1.0" encoding="utf-8"?>
<sst xmlns="http://schemas.openxmlformats.org/spreadsheetml/2006/main" count="56" uniqueCount="54">
  <si>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</si>
  <si>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</si>
  <si>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</si>
  <si>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</si>
  <si>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</si>
  <si>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</si>
  <si>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</si>
  <si>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</si>
  <si>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</si>
  <si>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</si>
  <si>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</si>
  <si>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</si>
  <si>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</si>
  <si>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</si>
  <si>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</si>
  <si>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</si>
  <si>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</si>
  <si>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</si>
  <si>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</si>
  <si>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</si>
  <si>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</si>
  <si>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</si>
  <si>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</si>
  <si>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</si>
  <si>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</si>
  <si>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</si>
  <si>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Year</t>
  </si>
  <si>
    <t>Earnings Yield</t>
  </si>
  <si>
    <t>Dividend Yield</t>
  </si>
  <si>
    <t>S&amp;P 500</t>
  </si>
  <si>
    <t>Change in Earnings</t>
  </si>
  <si>
    <t>Change in Dividends</t>
  </si>
  <si>
    <t>T.Bill Rate</t>
  </si>
  <si>
    <t>T.Bond Rate</t>
  </si>
  <si>
    <t>Bond-Bill</t>
  </si>
  <si>
    <t>Smoothed Growth</t>
  </si>
  <si>
    <t>Implied Premium (DDM)</t>
  </si>
  <si>
    <t>Analyst Growth Estimate</t>
  </si>
  <si>
    <t>Implied Premium (FCFE)</t>
  </si>
  <si>
    <t>ERP/Riskfree Rate</t>
    <phoneticPr fontId="7" type="noConversion"/>
  </si>
  <si>
    <t>Earnings*</t>
  </si>
  <si>
    <t>Dividends*</t>
  </si>
  <si>
    <t>* Earnings and dividends numbers each year reflect the estimated numbers as of the end of the year. These numbers get updated later in the year but I do not update the numbers in this spreadsheet, since I would not have had access to them at the end of the year.</t>
  </si>
  <si>
    <t>Implied Premium (FCFE with sustainable Payout)</t>
  </si>
  <si>
    <t>Dividends + Buybacks</t>
  </si>
  <si>
    <t>Date updated:</t>
  </si>
  <si>
    <t>Created by:</t>
  </si>
  <si>
    <t>Aswath Damodaran, adamodar@stern.nyu.edu</t>
  </si>
  <si>
    <t>What is this data?</t>
  </si>
  <si>
    <t>Home Page:</t>
  </si>
  <si>
    <t>http://www.damodaran.com</t>
  </si>
  <si>
    <t>Data website:</t>
  </si>
  <si>
    <t>http://www.stern.nyu.edu/~adamodar/New_Home_Page/data.html</t>
  </si>
  <si>
    <t>Implied Equity Risk Premiums (by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</si>
</sst>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Geneva"/>
      <family val="2"/>
    </font>
    <font>
      <i/>
      <sz val="10"/>
      <name val="Geneva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0"/>
      <name val="Times"/>
      <family val="1"/>
    </font>
    <font>
      <sz val="12"/>
      <color indexed="8"/>
      <name val="Times"/>
      <family val="1"/>
    </font>
    <font>
      <sz val="10"/>
      <color indexed="8"/>
      <name val="Geneva"/>
      <family val="2"/>
    </font>
    <font>
      <sz val="8"/>
      <name val="Verdana"/>
      <family val="2"/>
    </font>
    <font>
      <sz val="10"/>
      <color indexed="8"/>
      <name val="Times"/>
      <family val="1"/>
    </font>
    <font>
      <i/>
      <sz val="10"/>
      <name val="Times"/>
      <family val="1"/>
    </font>
    <font>
      <sz val="12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/>
    <xf numFmtId="10" fontId="4" fillId="0" borderId="0" xfId="0" applyNumberFormat="1" applyFont="1" applyAlignment="1">
      <alignment horizontal="center"/>
    </xf>
    <xf numFmtId="10" fontId="1" fillId="0" borderId="0" xfId="0" applyNumberFormat="1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1" fillId="0" borderId="3" xfId="2" applyNumberFormat="1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10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0" fontId="11" fillId="0" borderId="3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10" fontId="11" fillId="0" borderId="3" xfId="2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2" fontId="11" fillId="0" borderId="3" xfId="0" applyNumberFormat="1" applyFont="1" applyFill="1" applyBorder="1" applyAlignment="1">
      <alignment horizontal="center" vertical="center"/>
    </xf>
    <xf numFmtId="10" fontId="11" fillId="0" borderId="3" xfId="2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0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1" fillId="0" borderId="3" xfId="0" applyNumberFormat="1" applyFont="1" applyFill="1" applyBorder="1" applyAlignment="1">
      <alignment horizontal="center"/>
    </xf>
    <xf numFmtId="10" fontId="11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10" fontId="13" fillId="0" borderId="5" xfId="2" applyNumberFormat="1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" fontId="11" fillId="0" borderId="7" xfId="0" applyNumberFormat="1" applyFont="1" applyBorder="1" applyAlignment="1">
      <alignment horizontal="center"/>
    </xf>
    <xf numFmtId="10" fontId="11" fillId="0" borderId="7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0" fontId="14" fillId="2" borderId="8" xfId="0" applyFont="1" applyFill="1" applyBorder="1"/>
    <xf numFmtId="0" fontId="15" fillId="3" borderId="0" xfId="0" applyFont="1" applyFill="1"/>
    <xf numFmtId="10" fontId="0" fillId="3" borderId="0" xfId="0" applyNumberForma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0" fontId="14" fillId="2" borderId="9" xfId="0" applyFont="1" applyFill="1" applyBorder="1"/>
    <xf numFmtId="2" fontId="13" fillId="0" borderId="7" xfId="0" applyNumberFormat="1" applyFont="1" applyBorder="1" applyAlignment="1">
      <alignment horizontal="center"/>
    </xf>
    <xf numFmtId="15" fontId="16" fillId="2" borderId="10" xfId="0" applyNumberFormat="1" applyFont="1" applyFill="1" applyBorder="1" applyAlignment="1">
      <alignment horizontal="left"/>
    </xf>
    <xf numFmtId="15" fontId="16" fillId="2" borderId="2" xfId="0" applyNumberFormat="1" applyFont="1" applyFill="1" applyBorder="1" applyAlignment="1">
      <alignment horizontal="left"/>
    </xf>
    <xf numFmtId="15" fontId="16" fillId="2" borderId="12" xfId="0" applyNumberFormat="1" applyFont="1" applyFill="1" applyBorder="1" applyAlignment="1">
      <alignment horizontal="left"/>
    </xf>
    <xf numFmtId="0" fontId="3" fillId="2" borderId="4" xfId="1" applyFill="1" applyBorder="1" applyAlignment="1" applyProtection="1">
      <alignment horizontal="left"/>
    </xf>
    <xf numFmtId="0" fontId="3" fillId="2" borderId="11" xfId="1" applyFill="1" applyBorder="1" applyAlignment="1" applyProtection="1">
      <alignment horizontal="left"/>
    </xf>
    <xf numFmtId="0" fontId="3" fillId="2" borderId="13" xfId="1" applyFill="1" applyBorder="1" applyAlignment="1" applyProtection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0" fillId="2" borderId="15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15" fontId="3" fillId="2" borderId="4" xfId="1" applyNumberFormat="1" applyFill="1" applyBorder="1" applyAlignment="1" applyProtection="1">
      <alignment horizontal="left"/>
    </xf>
    <xf numFmtId="15" fontId="3" fillId="2" borderId="11" xfId="1" applyNumberFormat="1" applyFill="1" applyBorder="1" applyAlignment="1" applyProtection="1">
      <alignment horizontal="left"/>
    </xf>
    <xf numFmtId="15" fontId="3" fillId="2" borderId="13" xfId="1" applyNumberFormat="1" applyFill="1" applyBorder="1" applyAlignment="1" applyProtection="1">
      <alignment horizontal="left"/>
    </xf>
    <xf numFmtId="0" fontId="3" fillId="2" borderId="4" xfId="1" applyFill="1" applyBorder="1" applyAlignment="1" applyProtection="1"/>
    <xf numFmtId="0" fontId="3" fillId="2" borderId="11" xfId="1" applyFill="1" applyBorder="1" applyAlignment="1" applyProtection="1"/>
    <xf numFmtId="0" fontId="3" fillId="2" borderId="13" xfId="1" applyFill="1" applyBorder="1" applyAlignment="1" applyProtection="1"/>
  </cellXfs>
  <cellStyles count="3">
    <cellStyle name="Hiperlink" xfId="1" builtinId="8"/>
    <cellStyle name="Normal" xfId="0" builtinId="0"/>
    <cellStyle name="Porcentagem" xfId="2" builtinId="5"/>
  </cellStyles>
  <dxfs count="19"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6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5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10.xml"/><Relationship Id="rId23" Type="http://schemas.openxmlformats.org/officeDocument/2006/relationships/theme" Target="theme/theme1.xml"/><Relationship Id="rId10" Type="http://schemas.openxmlformats.org/officeDocument/2006/relationships/worksheet" Target="worksheets/sheet5.xml"/><Relationship Id="rId19" Type="http://schemas.openxmlformats.org/officeDocument/2006/relationships/worksheet" Target="worksheets/sheet14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worksheet" Target="worksheets/sheet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pt-BR"/>
              <a:t>Figure 20.7: Dividend Yields on S&amp; P 500 - 1960 to 1994</a:t>
            </a:r>
          </a:p>
        </c:rich>
      </c:tx>
      <c:layout>
        <c:manualLayout>
          <c:xMode val="edge"/>
          <c:yMode val="edge"/>
          <c:x val="0.28444458386924742"/>
          <c:y val="1.9607846508269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222222222223"/>
          <c:y val="0.11764705882352941"/>
          <c:w val="0.72"/>
          <c:h val="0.73856209150326801"/>
        </c:manualLayout>
      </c:layout>
      <c:lineChart>
        <c:grouping val="standard"/>
        <c:varyColors val="0"/>
        <c:ser>
          <c:idx val="1"/>
          <c:order val="0"/>
          <c:tx>
            <c:strRef>
              <c:f>'Historical Impl Premiums'!$C$7</c:f>
              <c:strCache>
                <c:ptCount val="1"/>
                <c:pt idx="0">
                  <c:v>Dividend Yield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Premiums'!$A$8:$A$42</c:f>
              <c:numCache>
                <c:formatCode>General</c:formatCode>
                <c:ptCount val="3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</c:numCache>
            </c:numRef>
          </c:cat>
          <c:val>
            <c:numRef>
              <c:f>'Historical Impl Premiums'!$C$8:$C$42</c:f>
              <c:numCache>
                <c:formatCode>0.00%</c:formatCode>
                <c:ptCount val="35"/>
                <c:pt idx="0">
                  <c:v>3.4099999999999998E-2</c:v>
                </c:pt>
                <c:pt idx="1">
                  <c:v>2.8500000000000001E-2</c:v>
                </c:pt>
                <c:pt idx="2">
                  <c:v>3.4000000000000002E-2</c:v>
                </c:pt>
                <c:pt idx="3">
                  <c:v>3.1300000000000001E-2</c:v>
                </c:pt>
                <c:pt idx="4">
                  <c:v>3.0499999999999999E-2</c:v>
                </c:pt>
                <c:pt idx="5">
                  <c:v>3.0599999999999999E-2</c:v>
                </c:pt>
                <c:pt idx="6">
                  <c:v>3.5900000000000001E-2</c:v>
                </c:pt>
                <c:pt idx="7">
                  <c:v>3.09E-2</c:v>
                </c:pt>
                <c:pt idx="8">
                  <c:v>2.93E-2</c:v>
                </c:pt>
                <c:pt idx="9">
                  <c:v>3.5200000000000002E-2</c:v>
                </c:pt>
                <c:pt idx="10">
                  <c:v>3.4599999999999999E-2</c:v>
                </c:pt>
                <c:pt idx="11">
                  <c:v>3.1E-2</c:v>
                </c:pt>
                <c:pt idx="12">
                  <c:v>2.7E-2</c:v>
                </c:pt>
                <c:pt idx="13">
                  <c:v>3.6999999999999998E-2</c:v>
                </c:pt>
                <c:pt idx="14">
                  <c:v>5.4300000000000001E-2</c:v>
                </c:pt>
                <c:pt idx="15">
                  <c:v>4.1399999999999999E-2</c:v>
                </c:pt>
                <c:pt idx="16">
                  <c:v>3.9300000000000002E-2</c:v>
                </c:pt>
                <c:pt idx="17">
                  <c:v>5.11E-2</c:v>
                </c:pt>
                <c:pt idx="18">
                  <c:v>5.3900000000000003E-2</c:v>
                </c:pt>
                <c:pt idx="19">
                  <c:v>5.5300000000000002E-2</c:v>
                </c:pt>
                <c:pt idx="20">
                  <c:v>4.7399999999999998E-2</c:v>
                </c:pt>
                <c:pt idx="21">
                  <c:v>5.57E-2</c:v>
                </c:pt>
                <c:pt idx="22">
                  <c:v>4.9299999999999997E-2</c:v>
                </c:pt>
                <c:pt idx="23">
                  <c:v>4.3200000000000002E-2</c:v>
                </c:pt>
                <c:pt idx="24">
                  <c:v>4.6800000000000001E-2</c:v>
                </c:pt>
                <c:pt idx="25">
                  <c:v>3.8800000000000001E-2</c:v>
                </c:pt>
                <c:pt idx="26">
                  <c:v>3.3799999999999997E-2</c:v>
                </c:pt>
                <c:pt idx="27">
                  <c:v>3.7100000000000001E-2</c:v>
                </c:pt>
                <c:pt idx="28">
                  <c:v>3.6799999999999999E-2</c:v>
                </c:pt>
                <c:pt idx="29">
                  <c:v>3.32E-2</c:v>
                </c:pt>
                <c:pt idx="30">
                  <c:v>3.7400000000000003E-2</c:v>
                </c:pt>
                <c:pt idx="31">
                  <c:v>3.1099999999999999E-2</c:v>
                </c:pt>
                <c:pt idx="32">
                  <c:v>2.9000000000000001E-2</c:v>
                </c:pt>
                <c:pt idx="33">
                  <c:v>2.7199999999999998E-2</c:v>
                </c:pt>
                <c:pt idx="34">
                  <c:v>2.9100000000000001E-2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7-4AA7-80BF-9C85B451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91583"/>
        <c:axId val="1"/>
      </c:lineChart>
      <c:catAx>
        <c:axId val="184979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44296295134422942"/>
              <c:y val="0.94117646047519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pt-BR"/>
                  <a:t>Dividend Yield</a:t>
                </a:r>
              </a:p>
            </c:rich>
          </c:tx>
          <c:layout>
            <c:manualLayout>
              <c:xMode val="edge"/>
              <c:yMode val="edge"/>
              <c:x val="1.1851805376917527E-2"/>
              <c:y val="0.400871471306261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849791583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83582089552244"/>
          <c:y val="0.50409165302782322"/>
          <c:w val="0.15522388059701492"/>
          <c:h val="3.43698854337152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pt-BR"/>
              <a:t>Figure 20.1: Aggregate Earnings and Dividends: S &amp; P 500 - 1960-1994</a:t>
            </a:r>
          </a:p>
        </c:rich>
      </c:tx>
      <c:layout>
        <c:manualLayout>
          <c:xMode val="edge"/>
          <c:yMode val="edge"/>
          <c:x val="0.22814819462308247"/>
          <c:y val="1.9607846508269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96296296296297E-2"/>
          <c:y val="0.11764705882352941"/>
          <c:w val="0.73037037037037034"/>
          <c:h val="0.73856209150326801"/>
        </c:manualLayout>
      </c:layout>
      <c:lineChart>
        <c:grouping val="standard"/>
        <c:varyColors val="0"/>
        <c:ser>
          <c:idx val="3"/>
          <c:order val="0"/>
          <c:tx>
            <c:strRef>
              <c:f>'Historical Impl Premiums'!$E$7</c:f>
              <c:strCache>
                <c:ptCount val="1"/>
                <c:pt idx="0">
                  <c:v>Earnings*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Premiums'!$A$8:$A$42</c:f>
              <c:numCache>
                <c:formatCode>General</c:formatCode>
                <c:ptCount val="3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</c:numCache>
            </c:numRef>
          </c:cat>
          <c:val>
            <c:numRef>
              <c:f>'Historical Impl Premiums'!$E$8:$E$42</c:f>
              <c:numCache>
                <c:formatCode>0.00</c:formatCode>
                <c:ptCount val="35"/>
                <c:pt idx="0">
                  <c:v>3.1030739999999999</c:v>
                </c:pt>
                <c:pt idx="1">
                  <c:v>3.3700049999999999</c:v>
                </c:pt>
                <c:pt idx="2">
                  <c:v>3.6661100000000002</c:v>
                </c:pt>
                <c:pt idx="3">
                  <c:v>4.1336019999999998</c:v>
                </c:pt>
                <c:pt idx="4">
                  <c:v>4.76295</c:v>
                </c:pt>
                <c:pt idx="5">
                  <c:v>5.2962389999999999</c:v>
                </c:pt>
                <c:pt idx="6">
                  <c:v>5.4142419999999998</c:v>
                </c:pt>
                <c:pt idx="7">
                  <c:v>5.4602019999999998</c:v>
                </c:pt>
                <c:pt idx="8">
                  <c:v>5.7226860000000004</c:v>
                </c:pt>
                <c:pt idx="9">
                  <c:v>6.1035779999999997</c:v>
                </c:pt>
                <c:pt idx="10">
                  <c:v>5.5105700000000004</c:v>
                </c:pt>
                <c:pt idx="11">
                  <c:v>5.5741139999999998</c:v>
                </c:pt>
                <c:pt idx="12">
                  <c:v>6.1740149999999998</c:v>
                </c:pt>
                <c:pt idx="13">
                  <c:v>7.9600799999999996</c:v>
                </c:pt>
                <c:pt idx="14">
                  <c:v>9.3515840000000008</c:v>
                </c:pt>
                <c:pt idx="15">
                  <c:v>7.7112449999999999</c:v>
                </c:pt>
                <c:pt idx="16">
                  <c:v>9.7466220000000003</c:v>
                </c:pt>
                <c:pt idx="17">
                  <c:v>10.86993</c:v>
                </c:pt>
                <c:pt idx="18">
                  <c:v>11.638921</c:v>
                </c:pt>
                <c:pt idx="19">
                  <c:v>14.550312</c:v>
                </c:pt>
                <c:pt idx="20">
                  <c:v>14.987904</c:v>
                </c:pt>
                <c:pt idx="21">
                  <c:v>15.183945</c:v>
                </c:pt>
                <c:pt idx="22">
                  <c:v>13.824911999999999</c:v>
                </c:pt>
                <c:pt idx="23">
                  <c:v>13.293358</c:v>
                </c:pt>
                <c:pt idx="24">
                  <c:v>16.841068</c:v>
                </c:pt>
                <c:pt idx="25">
                  <c:v>15.676976</c:v>
                </c:pt>
                <c:pt idx="26">
                  <c:v>14.433332</c:v>
                </c:pt>
                <c:pt idx="27">
                  <c:v>16.035492000000001</c:v>
                </c:pt>
                <c:pt idx="28">
                  <c:v>24.12</c:v>
                </c:pt>
                <c:pt idx="29">
                  <c:v>24.32</c:v>
                </c:pt>
                <c:pt idx="30">
                  <c:v>22.65</c:v>
                </c:pt>
                <c:pt idx="31">
                  <c:v>19.3</c:v>
                </c:pt>
                <c:pt idx="32">
                  <c:v>20.87</c:v>
                </c:pt>
                <c:pt idx="33">
                  <c:v>26.9</c:v>
                </c:pt>
                <c:pt idx="34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C-4AEF-9AC4-B4F7EBB02ADB}"/>
            </c:ext>
          </c:extLst>
        </c:ser>
        <c:ser>
          <c:idx val="4"/>
          <c:order val="1"/>
          <c:tx>
            <c:strRef>
              <c:f>'Historical Impl Premiums'!$F$7</c:f>
              <c:strCache>
                <c:ptCount val="1"/>
                <c:pt idx="0">
                  <c:v>Dividends*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Premiums'!$A$8:$A$42</c:f>
              <c:numCache>
                <c:formatCode>General</c:formatCode>
                <c:ptCount val="3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</c:numCache>
            </c:numRef>
          </c:cat>
          <c:val>
            <c:numRef>
              <c:f>'Historical Impl Premiums'!$F$8:$F$42</c:f>
              <c:numCache>
                <c:formatCode>0.00</c:formatCode>
                <c:ptCount val="35"/>
                <c:pt idx="0">
                  <c:v>1.9815509999999998</c:v>
                </c:pt>
                <c:pt idx="1">
                  <c:v>2.0391750000000002</c:v>
                </c:pt>
                <c:pt idx="2">
                  <c:v>2.1454000000000004</c:v>
                </c:pt>
                <c:pt idx="3">
                  <c:v>2.3481260000000002</c:v>
                </c:pt>
                <c:pt idx="4">
                  <c:v>2.5848749999999998</c:v>
                </c:pt>
                <c:pt idx="5">
                  <c:v>2.8283580000000001</c:v>
                </c:pt>
                <c:pt idx="6">
                  <c:v>2.8838469999999998</c:v>
                </c:pt>
                <c:pt idx="7">
                  <c:v>2.9809230000000002</c:v>
                </c:pt>
                <c:pt idx="8">
                  <c:v>3.0430980000000001</c:v>
                </c:pt>
                <c:pt idx="9">
                  <c:v>3.2405120000000003</c:v>
                </c:pt>
                <c:pt idx="10">
                  <c:v>3.1883900000000001</c:v>
                </c:pt>
                <c:pt idx="11">
                  <c:v>3.16479</c:v>
                </c:pt>
                <c:pt idx="12">
                  <c:v>3.1873499999999999</c:v>
                </c:pt>
                <c:pt idx="13">
                  <c:v>3.6093499999999996</c:v>
                </c:pt>
                <c:pt idx="14">
                  <c:v>3.7228080000000001</c:v>
                </c:pt>
                <c:pt idx="15">
                  <c:v>3.7338659999999999</c:v>
                </c:pt>
                <c:pt idx="16">
                  <c:v>4.2231779999999999</c:v>
                </c:pt>
                <c:pt idx="17">
                  <c:v>4.85961</c:v>
                </c:pt>
                <c:pt idx="18">
                  <c:v>5.1803290000000004</c:v>
                </c:pt>
                <c:pt idx="19">
                  <c:v>5.9690820000000002</c:v>
                </c:pt>
                <c:pt idx="20">
                  <c:v>6.4350239999999994</c:v>
                </c:pt>
                <c:pt idx="21">
                  <c:v>6.8260350000000001</c:v>
                </c:pt>
                <c:pt idx="22">
                  <c:v>6.9335519999999988</c:v>
                </c:pt>
                <c:pt idx="23">
                  <c:v>7.1249760000000011</c:v>
                </c:pt>
                <c:pt idx="24">
                  <c:v>7.8268320000000005</c:v>
                </c:pt>
                <c:pt idx="25">
                  <c:v>8.1976639999999996</c:v>
                </c:pt>
                <c:pt idx="26">
                  <c:v>8.1853459999999991</c:v>
                </c:pt>
                <c:pt idx="27">
                  <c:v>9.1666680000000014</c:v>
                </c:pt>
                <c:pt idx="28">
                  <c:v>10.220096000000002</c:v>
                </c:pt>
                <c:pt idx="29">
                  <c:v>11.73288</c:v>
                </c:pt>
                <c:pt idx="30">
                  <c:v>12.350228000000001</c:v>
                </c:pt>
                <c:pt idx="31">
                  <c:v>12.971499</c:v>
                </c:pt>
                <c:pt idx="32">
                  <c:v>12.635590000000001</c:v>
                </c:pt>
                <c:pt idx="33">
                  <c:v>12.687439999999999</c:v>
                </c:pt>
                <c:pt idx="34">
                  <c:v>13.364756999999999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C-4AEF-9AC4-B4F7EBB0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75583"/>
        <c:axId val="1"/>
      </c:lineChart>
      <c:catAx>
        <c:axId val="184977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44148147567211471"/>
              <c:y val="0.94117646047519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pt-BR"/>
                  <a:t>$</a:t>
                </a:r>
              </a:p>
            </c:rich>
          </c:tx>
          <c:layout>
            <c:manualLayout>
              <c:xMode val="edge"/>
              <c:yMode val="edge"/>
              <c:x val="1.1851805376917527E-2"/>
              <c:y val="0.474945500808032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849775583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0597014925373"/>
          <c:y val="0.45335515548281508"/>
          <c:w val="0.11940298507462686"/>
          <c:h val="6.8739770867430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pt-BR"/>
              <a:t>Implied Risk Premium: U.S. Equities</a:t>
            </a:r>
          </a:p>
        </c:rich>
      </c:tx>
      <c:layout>
        <c:manualLayout>
          <c:xMode val="edge"/>
          <c:yMode val="edge"/>
          <c:x val="0.32296285280443326"/>
          <c:y val="1.9607846508269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222222222223"/>
          <c:y val="0.12854030501089325"/>
          <c:w val="0.68888888888888888"/>
          <c:h val="0.72984749455337694"/>
        </c:manualLayout>
      </c:layout>
      <c:lineChart>
        <c:grouping val="standard"/>
        <c:varyColors val="0"/>
        <c:ser>
          <c:idx val="8"/>
          <c:order val="0"/>
          <c:tx>
            <c:strRef>
              <c:f>'Historical Impl Premiums'!$N$7</c:f>
              <c:strCache>
                <c:ptCount val="1"/>
                <c:pt idx="0">
                  <c:v>Implied Premium (DDM)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ash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Premiums'!$A$8:$A$44</c:f>
              <c:numCache>
                <c:formatCode>General</c:formatCode>
                <c:ptCount val="3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</c:numCache>
            </c:numRef>
          </c:cat>
          <c:val>
            <c:numRef>
              <c:f>'Historical Impl Premiums'!$N$8:$N$44</c:f>
              <c:numCache>
                <c:formatCode>0.00%</c:formatCode>
                <c:ptCount val="37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4.0300000000000002E-2</c:v>
                </c:pt>
                <c:pt idx="26">
                  <c:v>3.3599999999999998E-2</c:v>
                </c:pt>
                <c:pt idx="27">
                  <c:v>4.1799999999999997E-2</c:v>
                </c:pt>
                <c:pt idx="28">
                  <c:v>4.1200000000000001E-2</c:v>
                </c:pt>
                <c:pt idx="29">
                  <c:v>3.85E-2</c:v>
                </c:pt>
                <c:pt idx="30">
                  <c:v>3.9199999999999999E-2</c:v>
                </c:pt>
                <c:pt idx="31">
                  <c:v>3.27E-2</c:v>
                </c:pt>
                <c:pt idx="32">
                  <c:v>2.8299999999999999E-2</c:v>
                </c:pt>
                <c:pt idx="33">
                  <c:v>2.7400000000000001E-2</c:v>
                </c:pt>
                <c:pt idx="34">
                  <c:v>3.0599999999999999E-2</c:v>
                </c:pt>
                <c:pt idx="35">
                  <c:v>2.4400000000000002E-2</c:v>
                </c:pt>
                <c:pt idx="36">
                  <c:v>2.1100000000000001E-2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9-4B1A-86F0-EF3AEAD2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801183"/>
        <c:axId val="1"/>
      </c:lineChart>
      <c:catAx>
        <c:axId val="184980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42666661448631049"/>
              <c:y val="0.94335505277997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pt-BR"/>
                  <a:t>Implied Premium (%)</a:t>
                </a:r>
              </a:p>
            </c:rich>
          </c:tx>
          <c:layout>
            <c:manualLayout>
              <c:xMode val="edge"/>
              <c:yMode val="edge"/>
              <c:x val="1.3333385513689516E-2"/>
              <c:y val="0.379085032493209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pt-BR"/>
          </a:p>
        </c:txPr>
        <c:crossAx val="1849801183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pt-BR"/>
              <a:t>Implied Premium for US Equity Market: 1960-2019</a:t>
            </a:r>
          </a:p>
        </c:rich>
      </c:tx>
      <c:layout>
        <c:manualLayout>
          <c:xMode val="edge"/>
          <c:yMode val="edge"/>
          <c:x val="0.29279001845837521"/>
          <c:y val="4.266941194713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1481481481481E-2"/>
          <c:y val="0.12200435729847495"/>
          <c:w val="0.89333333333333331"/>
          <c:h val="0.77559912854030499"/>
        </c:manualLayout>
      </c:layout>
      <c:lineChart>
        <c:grouping val="standard"/>
        <c:varyColors val="0"/>
        <c:ser>
          <c:idx val="12"/>
          <c:order val="0"/>
          <c:tx>
            <c:strRef>
              <c:f>'Historical Impl Premiums'!$N$7</c:f>
              <c:strCache>
                <c:ptCount val="1"/>
                <c:pt idx="0">
                  <c:v>Implied Premium (DDM)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33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Premiums'!$A$8:$A$67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</c:numCache>
            </c:numRef>
          </c:cat>
          <c:val>
            <c:numRef>
              <c:f>'Historical Impl Premiums'!$P$8:$P$67</c:f>
              <c:numCache>
                <c:formatCode>0.00%</c:formatCode>
                <c:ptCount val="60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3.8399999999999997E-2</c:v>
                </c:pt>
                <c:pt idx="26">
                  <c:v>3.5799999999999998E-2</c:v>
                </c:pt>
                <c:pt idx="27">
                  <c:v>3.9899999999999998E-2</c:v>
                </c:pt>
                <c:pt idx="28">
                  <c:v>3.7699999999999997E-2</c:v>
                </c:pt>
                <c:pt idx="29">
                  <c:v>3.5099999999999999E-2</c:v>
                </c:pt>
                <c:pt idx="30">
                  <c:v>3.8899999999999997E-2</c:v>
                </c:pt>
                <c:pt idx="31">
                  <c:v>3.4799999999999998E-2</c:v>
                </c:pt>
                <c:pt idx="32">
                  <c:v>3.5499999999999997E-2</c:v>
                </c:pt>
                <c:pt idx="33">
                  <c:v>3.1699999999999999E-2</c:v>
                </c:pt>
                <c:pt idx="34">
                  <c:v>3.5499999999999997E-2</c:v>
                </c:pt>
                <c:pt idx="35">
                  <c:v>3.2899999999999999E-2</c:v>
                </c:pt>
                <c:pt idx="36">
                  <c:v>3.2000000000000001E-2</c:v>
                </c:pt>
                <c:pt idx="37">
                  <c:v>2.7300000000000001E-2</c:v>
                </c:pt>
                <c:pt idx="38">
                  <c:v>2.2599999999999999E-2</c:v>
                </c:pt>
                <c:pt idx="39">
                  <c:v>2.0500000000000001E-2</c:v>
                </c:pt>
                <c:pt idx="40">
                  <c:v>2.87E-2</c:v>
                </c:pt>
                <c:pt idx="41">
                  <c:v>3.6200000000000003E-2</c:v>
                </c:pt>
                <c:pt idx="42">
                  <c:v>4.1000000000000002E-2</c:v>
                </c:pt>
                <c:pt idx="43">
                  <c:v>3.6900000000000002E-2</c:v>
                </c:pt>
                <c:pt idx="44">
                  <c:v>3.6499999999999998E-2</c:v>
                </c:pt>
                <c:pt idx="45">
                  <c:v>4.0800000000000003E-2</c:v>
                </c:pt>
                <c:pt idx="46">
                  <c:v>4.1599999999999998E-2</c:v>
                </c:pt>
                <c:pt idx="47">
                  <c:v>4.3700000000000003E-2</c:v>
                </c:pt>
                <c:pt idx="48">
                  <c:v>6.4299999999999996E-2</c:v>
                </c:pt>
                <c:pt idx="49">
                  <c:v>4.36E-2</c:v>
                </c:pt>
                <c:pt idx="50">
                  <c:v>5.1999999999999998E-2</c:v>
                </c:pt>
                <c:pt idx="51">
                  <c:v>6.0100000000000001E-2</c:v>
                </c:pt>
                <c:pt idx="52">
                  <c:v>5.7799999999999997E-2</c:v>
                </c:pt>
                <c:pt idx="53">
                  <c:v>4.9599999999999998E-2</c:v>
                </c:pt>
                <c:pt idx="54">
                  <c:v>5.7799999999999997E-2</c:v>
                </c:pt>
                <c:pt idx="55">
                  <c:v>6.1199999999999997E-2</c:v>
                </c:pt>
                <c:pt idx="56">
                  <c:v>5.6899999999999999E-2</c:v>
                </c:pt>
                <c:pt idx="57">
                  <c:v>5.0799999999999998E-2</c:v>
                </c:pt>
                <c:pt idx="58">
                  <c:v>5.96E-2</c:v>
                </c:pt>
                <c:pt idx="5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AEE-BD17-D58ECFD2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801583"/>
        <c:axId val="1"/>
      </c:lineChart>
      <c:catAx>
        <c:axId val="1849801583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5229630365195449"/>
              <c:y val="0.94771240028256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pt-BR"/>
                  <a:t>Implied Premium</a:t>
                </a:r>
              </a:p>
            </c:rich>
          </c:tx>
          <c:layout>
            <c:manualLayout>
              <c:xMode val="edge"/>
              <c:yMode val="edge"/>
              <c:x val="1.0370452580667773E-2"/>
              <c:y val="0.427015455125002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8498015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pt-BR"/>
              <a:t>Implied ERP and Risk free Rates</a:t>
            </a:r>
          </a:p>
        </c:rich>
      </c:tx>
      <c:layout>
        <c:manualLayout>
          <c:xMode val="edge"/>
          <c:yMode val="edge"/>
          <c:x val="0.30222222222222223"/>
          <c:y val="1.9607677596099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07407407407406E-2"/>
          <c:y val="0.12200435729847495"/>
          <c:w val="0.88888888888888884"/>
          <c:h val="0.745098039215686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'Historical Impl Premiums'!$K$7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'Historical Impl Premiums'!$A$9:$A$67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</c:numCache>
            </c:numRef>
          </c:cat>
          <c:val>
            <c:numRef>
              <c:f>'Historical Impl Premiums'!$K$9:$K$67</c:f>
              <c:numCache>
                <c:formatCode>0.00%</c:formatCode>
                <c:ptCount val="59"/>
                <c:pt idx="0">
                  <c:v>2.35E-2</c:v>
                </c:pt>
                <c:pt idx="1">
                  <c:v>3.85E-2</c:v>
                </c:pt>
                <c:pt idx="2">
                  <c:v>4.1399999999999999E-2</c:v>
                </c:pt>
                <c:pt idx="3">
                  <c:v>4.2099999999999999E-2</c:v>
                </c:pt>
                <c:pt idx="4">
                  <c:v>4.65E-2</c:v>
                </c:pt>
                <c:pt idx="5">
                  <c:v>4.6399999999999997E-2</c:v>
                </c:pt>
                <c:pt idx="6">
                  <c:v>5.7000000000000002E-2</c:v>
                </c:pt>
                <c:pt idx="7">
                  <c:v>6.1600000000000002E-2</c:v>
                </c:pt>
                <c:pt idx="8">
                  <c:v>7.8799999999999995E-2</c:v>
                </c:pt>
                <c:pt idx="9">
                  <c:v>6.5000000000000002E-2</c:v>
                </c:pt>
                <c:pt idx="10">
                  <c:v>5.8900000000000001E-2</c:v>
                </c:pt>
                <c:pt idx="11">
                  <c:v>6.4100000000000004E-2</c:v>
                </c:pt>
                <c:pt idx="12">
                  <c:v>6.9000000000000006E-2</c:v>
                </c:pt>
                <c:pt idx="13">
                  <c:v>7.3999999999999996E-2</c:v>
                </c:pt>
                <c:pt idx="14">
                  <c:v>7.7600000000000002E-2</c:v>
                </c:pt>
                <c:pt idx="15">
                  <c:v>6.8099999999999994E-2</c:v>
                </c:pt>
                <c:pt idx="16">
                  <c:v>7.7799999999999994E-2</c:v>
                </c:pt>
                <c:pt idx="17">
                  <c:v>9.1499999999999998E-2</c:v>
                </c:pt>
                <c:pt idx="18">
                  <c:v>0.1033</c:v>
                </c:pt>
                <c:pt idx="19">
                  <c:v>0.12429999999999999</c:v>
                </c:pt>
                <c:pt idx="20">
                  <c:v>0.13980000000000001</c:v>
                </c:pt>
                <c:pt idx="21">
                  <c:v>0.1047</c:v>
                </c:pt>
                <c:pt idx="22">
                  <c:v>0.11799999999999999</c:v>
                </c:pt>
                <c:pt idx="23">
                  <c:v>0.11509999999999999</c:v>
                </c:pt>
                <c:pt idx="24">
                  <c:v>8.9899999999999994E-2</c:v>
                </c:pt>
                <c:pt idx="25">
                  <c:v>7.22E-2</c:v>
                </c:pt>
                <c:pt idx="26">
                  <c:v>8.8599999999999998E-2</c:v>
                </c:pt>
                <c:pt idx="27">
                  <c:v>9.1399999999999995E-2</c:v>
                </c:pt>
                <c:pt idx="28">
                  <c:v>7.9299999999999995E-2</c:v>
                </c:pt>
                <c:pt idx="29">
                  <c:v>8.0699999999999994E-2</c:v>
                </c:pt>
                <c:pt idx="30">
                  <c:v>6.7000000000000004E-2</c:v>
                </c:pt>
                <c:pt idx="31">
                  <c:v>6.6799999999999998E-2</c:v>
                </c:pt>
                <c:pt idx="32">
                  <c:v>5.79E-2</c:v>
                </c:pt>
                <c:pt idx="33">
                  <c:v>7.8200000000000006E-2</c:v>
                </c:pt>
                <c:pt idx="34">
                  <c:v>5.57E-2</c:v>
                </c:pt>
                <c:pt idx="35">
                  <c:v>6.4100000000000004E-2</c:v>
                </c:pt>
                <c:pt idx="36">
                  <c:v>5.74E-2</c:v>
                </c:pt>
                <c:pt idx="37">
                  <c:v>4.65E-2</c:v>
                </c:pt>
                <c:pt idx="38">
                  <c:v>6.4399999999999999E-2</c:v>
                </c:pt>
                <c:pt idx="39">
                  <c:v>5.11E-2</c:v>
                </c:pt>
                <c:pt idx="40">
                  <c:v>5.0500000000000003E-2</c:v>
                </c:pt>
                <c:pt idx="41">
                  <c:v>3.8100000000000002E-2</c:v>
                </c:pt>
                <c:pt idx="42">
                  <c:v>4.2500000000000003E-2</c:v>
                </c:pt>
                <c:pt idx="43">
                  <c:v>4.2200000000000001E-2</c:v>
                </c:pt>
                <c:pt idx="44">
                  <c:v>4.3900000000000002E-2</c:v>
                </c:pt>
                <c:pt idx="45">
                  <c:v>4.7E-2</c:v>
                </c:pt>
                <c:pt idx="46">
                  <c:v>4.02E-2</c:v>
                </c:pt>
                <c:pt idx="47">
                  <c:v>2.2100000000000002E-2</c:v>
                </c:pt>
                <c:pt idx="48">
                  <c:v>3.8399999999999997E-2</c:v>
                </c:pt>
                <c:pt idx="49">
                  <c:v>3.2899999999999999E-2</c:v>
                </c:pt>
                <c:pt idx="50">
                  <c:v>1.8800000000000001E-2</c:v>
                </c:pt>
                <c:pt idx="51">
                  <c:v>1.7600000000000001E-2</c:v>
                </c:pt>
                <c:pt idx="52">
                  <c:v>3.04E-2</c:v>
                </c:pt>
                <c:pt idx="53">
                  <c:v>2.1700000000000001E-2</c:v>
                </c:pt>
                <c:pt idx="54">
                  <c:v>2.2700000000000001E-2</c:v>
                </c:pt>
                <c:pt idx="55">
                  <c:v>2.4500000000000001E-2</c:v>
                </c:pt>
                <c:pt idx="56">
                  <c:v>2.41E-2</c:v>
                </c:pt>
                <c:pt idx="57">
                  <c:v>2.6800000000000001E-2</c:v>
                </c:pt>
                <c:pt idx="58">
                  <c:v>1.9199999999999998E-2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7-4F5D-BE23-C495434D62DA}"/>
            </c:ext>
          </c:extLst>
        </c:ser>
        <c:ser>
          <c:idx val="1"/>
          <c:order val="1"/>
          <c:tx>
            <c:strRef>
              <c:f>'Historical Impl Premiums'!$P$7</c:f>
              <c:strCache>
                <c:ptCount val="1"/>
                <c:pt idx="0">
                  <c:v>Implied Premium (FCFE)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'Historical Impl Premiums'!$A$9:$A$67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</c:numCache>
            </c:numRef>
          </c:cat>
          <c:val>
            <c:numRef>
              <c:f>'Historical Impl Premiums'!$P$9:$P$67</c:f>
              <c:numCache>
                <c:formatCode>0.00%</c:formatCode>
                <c:ptCount val="59"/>
                <c:pt idx="0">
                  <c:v>2.92E-2</c:v>
                </c:pt>
                <c:pt idx="1">
                  <c:v>3.56E-2</c:v>
                </c:pt>
                <c:pt idx="2">
                  <c:v>3.3799999999999997E-2</c:v>
                </c:pt>
                <c:pt idx="3">
                  <c:v>3.3099999999999997E-2</c:v>
                </c:pt>
                <c:pt idx="4">
                  <c:v>3.32E-2</c:v>
                </c:pt>
                <c:pt idx="5">
                  <c:v>3.6799999999999999E-2</c:v>
                </c:pt>
                <c:pt idx="6">
                  <c:v>3.2000000000000001E-2</c:v>
                </c:pt>
                <c:pt idx="7">
                  <c:v>0.03</c:v>
                </c:pt>
                <c:pt idx="8">
                  <c:v>3.7400000000000003E-2</c:v>
                </c:pt>
                <c:pt idx="9">
                  <c:v>3.4099999999999998E-2</c:v>
                </c:pt>
                <c:pt idx="10">
                  <c:v>3.09E-2</c:v>
                </c:pt>
                <c:pt idx="11">
                  <c:v>2.7199999999999998E-2</c:v>
                </c:pt>
                <c:pt idx="12">
                  <c:v>4.2999999999999997E-2</c:v>
                </c:pt>
                <c:pt idx="13">
                  <c:v>5.5899999999999998E-2</c:v>
                </c:pt>
                <c:pt idx="14">
                  <c:v>4.1300000000000003E-2</c:v>
                </c:pt>
                <c:pt idx="15">
                  <c:v>4.5499999999999999E-2</c:v>
                </c:pt>
                <c:pt idx="16">
                  <c:v>5.9200000000000003E-2</c:v>
                </c:pt>
                <c:pt idx="17">
                  <c:v>5.7200000000000001E-2</c:v>
                </c:pt>
                <c:pt idx="18">
                  <c:v>6.4500000000000002E-2</c:v>
                </c:pt>
                <c:pt idx="19">
                  <c:v>5.0299999999999997E-2</c:v>
                </c:pt>
                <c:pt idx="20">
                  <c:v>5.7299999999999997E-2</c:v>
                </c:pt>
                <c:pt idx="21">
                  <c:v>4.9000000000000002E-2</c:v>
                </c:pt>
                <c:pt idx="22">
                  <c:v>4.3099999999999999E-2</c:v>
                </c:pt>
                <c:pt idx="23">
                  <c:v>5.11E-2</c:v>
                </c:pt>
                <c:pt idx="24">
                  <c:v>3.8399999999999997E-2</c:v>
                </c:pt>
                <c:pt idx="25">
                  <c:v>3.5799999999999998E-2</c:v>
                </c:pt>
                <c:pt idx="26">
                  <c:v>3.9899999999999998E-2</c:v>
                </c:pt>
                <c:pt idx="27">
                  <c:v>3.7699999999999997E-2</c:v>
                </c:pt>
                <c:pt idx="28">
                  <c:v>3.5099999999999999E-2</c:v>
                </c:pt>
                <c:pt idx="29">
                  <c:v>3.8899999999999997E-2</c:v>
                </c:pt>
                <c:pt idx="30">
                  <c:v>3.4799999999999998E-2</c:v>
                </c:pt>
                <c:pt idx="31">
                  <c:v>3.5499999999999997E-2</c:v>
                </c:pt>
                <c:pt idx="32">
                  <c:v>3.1699999999999999E-2</c:v>
                </c:pt>
                <c:pt idx="33">
                  <c:v>3.5499999999999997E-2</c:v>
                </c:pt>
                <c:pt idx="34">
                  <c:v>3.2899999999999999E-2</c:v>
                </c:pt>
                <c:pt idx="35">
                  <c:v>3.2000000000000001E-2</c:v>
                </c:pt>
                <c:pt idx="36">
                  <c:v>2.7300000000000001E-2</c:v>
                </c:pt>
                <c:pt idx="37">
                  <c:v>2.2599999999999999E-2</c:v>
                </c:pt>
                <c:pt idx="38">
                  <c:v>2.0500000000000001E-2</c:v>
                </c:pt>
                <c:pt idx="39">
                  <c:v>2.87E-2</c:v>
                </c:pt>
                <c:pt idx="40">
                  <c:v>3.6200000000000003E-2</c:v>
                </c:pt>
                <c:pt idx="41">
                  <c:v>4.1000000000000002E-2</c:v>
                </c:pt>
                <c:pt idx="42">
                  <c:v>3.6900000000000002E-2</c:v>
                </c:pt>
                <c:pt idx="43">
                  <c:v>3.6499999999999998E-2</c:v>
                </c:pt>
                <c:pt idx="44">
                  <c:v>4.0800000000000003E-2</c:v>
                </c:pt>
                <c:pt idx="45">
                  <c:v>4.1599999999999998E-2</c:v>
                </c:pt>
                <c:pt idx="46">
                  <c:v>4.3700000000000003E-2</c:v>
                </c:pt>
                <c:pt idx="47">
                  <c:v>6.4299999999999996E-2</c:v>
                </c:pt>
                <c:pt idx="48">
                  <c:v>4.36E-2</c:v>
                </c:pt>
                <c:pt idx="49">
                  <c:v>5.1999999999999998E-2</c:v>
                </c:pt>
                <c:pt idx="50">
                  <c:v>6.0100000000000001E-2</c:v>
                </c:pt>
                <c:pt idx="51">
                  <c:v>5.7799999999999997E-2</c:v>
                </c:pt>
                <c:pt idx="52">
                  <c:v>4.9599999999999998E-2</c:v>
                </c:pt>
                <c:pt idx="53">
                  <c:v>5.7799999999999997E-2</c:v>
                </c:pt>
                <c:pt idx="54">
                  <c:v>6.1199999999999997E-2</c:v>
                </c:pt>
                <c:pt idx="55">
                  <c:v>5.6899999999999999E-2</c:v>
                </c:pt>
                <c:pt idx="56">
                  <c:v>5.0799999999999998E-2</c:v>
                </c:pt>
                <c:pt idx="57">
                  <c:v>5.96E-2</c:v>
                </c:pt>
                <c:pt idx="58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7-4F5D-BE23-C495434D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801983"/>
        <c:axId val="1"/>
      </c:barChart>
      <c:catAx>
        <c:axId val="184980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pt-BR"/>
          </a:p>
        </c:txPr>
        <c:crossAx val="184980198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399556048834628"/>
          <c:y val="0.43050847457627117"/>
          <c:w val="0.17758046614872364"/>
          <c:h val="3.55932203389830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pt-B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4294967292" verticalDpi="4294967292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4294967292" verticalDpi="4294967292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/>
  </sheetViews>
  <pageMargins left="0.75" right="0.75" top="1" bottom="1" header="0.5" footer="0.5"/>
  <pageSetup orientation="landscape" horizontalDpi="4294967292" verticalDpi="4294967292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horizontalDpi="4294967292" verticalDpi="4294967292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23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2885E4-F60A-43C9-B732-71D98C69E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23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943CD-D7C1-44B6-9789-AAF9B7344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C7AAD9-20E0-4DAE-9D52-081E305DF4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455071-874E-4D21-8454-7C30E8569C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5438" cy="5619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46EA77-1275-4A0B-9A7B-65E1885C56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0.4355</cdr:x>
      <cdr:y>0.7205</cdr:y>
    </cdr:from>
    <cdr:to>
      <cdr:x>0.56026</cdr:x>
      <cdr:y>0.75152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7472" y="4049030"/>
          <a:ext cx="1070693" cy="1743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T. Bond Rate</a:t>
          </a:r>
        </a:p>
      </cdr:txBody>
    </cdr:sp>
  </cdr:relSizeAnchor>
  <cdr:relSizeAnchor xmlns:cdr="http://schemas.openxmlformats.org/drawingml/2006/chartDrawing">
    <cdr:from>
      <cdr:x>0.36041</cdr:x>
      <cdr:y>0.22875</cdr:y>
    </cdr:from>
    <cdr:to>
      <cdr:x>0.87497</cdr:x>
      <cdr:y>0.25977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3048" y="1285518"/>
          <a:ext cx="4415966" cy="1743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Expected Return on Stocks = T.Bond Rate + Equity Risk Premium</a:t>
          </a:r>
        </a:p>
      </cdr:txBody>
    </cdr:sp>
  </cdr:relSizeAnchor>
  <cdr:relSizeAnchor xmlns:cdr="http://schemas.openxmlformats.org/drawingml/2006/chartDrawing">
    <cdr:from>
      <cdr:x>0.50725</cdr:x>
      <cdr:y>0.2575</cdr:y>
    </cdr:from>
    <cdr:to>
      <cdr:x>0.618</cdr:x>
      <cdr:y>0.343</cdr:y>
    </cdr:to>
    <cdr:sp macro="" textlink="">
      <cdr:nvSpPr>
        <cdr:cNvPr id="103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363403" y="1305763"/>
          <a:ext cx="942975" cy="52172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0.7315</cdr:x>
      <cdr:y>0.421</cdr:y>
    </cdr:from>
    <cdr:to>
      <cdr:x>0.99375</cdr:x>
      <cdr:y>0.5725</cdr:y>
    </cdr:to>
    <cdr:sp macro="" textlink="">
      <cdr:nvSpPr>
        <cdr:cNvPr id="1047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77213" y="2306945"/>
          <a:ext cx="2241709" cy="9370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"/>
              <a:ea typeface="Times"/>
              <a:cs typeface="Times"/>
            </a:rPr>
            <a:t>Since</a:t>
          </a:r>
          <a:r>
            <a:rPr lang="en-US" sz="1200" b="0" i="0" strike="noStrike" baseline="0">
              <a:solidFill>
                <a:srgbClr val="000000"/>
              </a:solidFill>
              <a:latin typeface="Times"/>
              <a:ea typeface="Times"/>
              <a:cs typeface="Times"/>
            </a:rPr>
            <a:t> 2008, the expected return on stocks has stagnated at about 8%, but the risk free rate has dropped dramatically.</a:t>
          </a:r>
          <a:endParaRPr lang="en-US" sz="1200" b="0" i="0" strike="noStrike">
            <a:solidFill>
              <a:srgbClr val="000000"/>
            </a:solidFill>
            <a:latin typeface="Times"/>
            <a:ea typeface="Times"/>
            <a:cs typeface="Times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7:R67" totalsRowShown="0" dataDxfId="2" headerRowBorderDxfId="0" tableBorderDxfId="1">
  <autoFilter ref="A7:R67"/>
  <tableColumns count="18">
    <tableColumn id="1" name="Year" dataDxfId="18"/>
    <tableColumn id="2" name="Earnings Yield" dataDxfId="17"/>
    <tableColumn id="3" name="Dividend Yield"/>
    <tableColumn id="4" name="S&amp;P 500" dataDxfId="16"/>
    <tableColumn id="5" name="Earnings*" dataDxfId="15"/>
    <tableColumn id="6" name="Dividends*" dataDxfId="14"/>
    <tableColumn id="7" name="Dividends + Buybacks"/>
    <tableColumn id="8" name="Change in Earnings" dataDxfId="13"/>
    <tableColumn id="9" name="Change in Dividends" dataDxfId="12"/>
    <tableColumn id="10" name="T.Bill Rate" dataDxfId="11"/>
    <tableColumn id="11" name="T.Bond Rate" dataDxfId="10"/>
    <tableColumn id="12" name="Bond-Bill" dataDxfId="9"/>
    <tableColumn id="13" name="Smoothed Growth" dataDxfId="8"/>
    <tableColumn id="14" name="Implied Premium (DDM)" dataDxfId="7"/>
    <tableColumn id="15" name="Analyst Growth Estimate" dataDxfId="6"/>
    <tableColumn id="16" name="Implied Premium (FCFE)" dataDxfId="5"/>
    <tableColumn id="17" name="Implied Premium (FCFE with sustainable Payout)" dataDxfId="4"/>
    <tableColumn id="18" name="ERP/Riskfree Rat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7" sqref="C27"/>
    </sheetView>
  </sheetViews>
  <sheetFormatPr defaultRowHeight="12.75"/>
  <cols>
    <col min="1" max="256" width="11.42578125" customWidth="1"/>
  </cols>
  <sheetData>
    <row r="1" spans="1:9">
      <c r="A1" t="s">
        <v>0</v>
      </c>
    </row>
    <row r="2" spans="1:9" ht="13.5" thickBot="1"/>
    <row r="3" spans="1:9">
      <c r="A3" s="4" t="s">
        <v>1</v>
      </c>
      <c r="B3" s="4"/>
    </row>
    <row r="4" spans="1:9">
      <c r="A4" s="1" t="s">
        <v>2</v>
      </c>
      <c r="B4" s="1">
        <v>0.70381468070161413</v>
      </c>
    </row>
    <row r="5" spans="1:9">
      <c r="A5" s="1" t="s">
        <v>3</v>
      </c>
      <c r="B5" s="1">
        <v>0.49535510477111505</v>
      </c>
    </row>
    <row r="6" spans="1:9">
      <c r="A6" s="1" t="s">
        <v>4</v>
      </c>
      <c r="B6" s="1">
        <v>0.46567011093412181</v>
      </c>
    </row>
    <row r="7" spans="1:9">
      <c r="A7" s="1" t="s">
        <v>5</v>
      </c>
      <c r="B7" s="1">
        <v>7.675842714389214E-3</v>
      </c>
    </row>
    <row r="8" spans="1:9" ht="13.5" thickBot="1">
      <c r="A8" s="2" t="s">
        <v>6</v>
      </c>
      <c r="B8" s="2">
        <v>37</v>
      </c>
    </row>
    <row r="10" spans="1:9" ht="13.5" thickBot="1">
      <c r="A10" t="s">
        <v>7</v>
      </c>
    </row>
    <row r="11" spans="1:9">
      <c r="A11" s="3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</row>
    <row r="12" spans="1:9">
      <c r="A12" s="1" t="s">
        <v>13</v>
      </c>
      <c r="B12" s="1">
        <v>2</v>
      </c>
      <c r="C12" s="1">
        <v>1.9663544687701269E-3</v>
      </c>
      <c r="D12" s="1">
        <v>9.8317723438506345E-4</v>
      </c>
      <c r="E12" s="1">
        <v>16.687054324188775</v>
      </c>
      <c r="F12" s="1">
        <v>8.9281203545562923E-6</v>
      </c>
    </row>
    <row r="13" spans="1:9">
      <c r="A13" s="1" t="s">
        <v>14</v>
      </c>
      <c r="B13" s="1">
        <v>34</v>
      </c>
      <c r="C13" s="1">
        <v>2.0032310867854281E-3</v>
      </c>
      <c r="D13" s="1">
        <v>5.8918561376042E-5</v>
      </c>
      <c r="E13" s="1"/>
      <c r="F13" s="1"/>
    </row>
    <row r="14" spans="1:9" ht="13.5" thickBot="1">
      <c r="A14" s="2" t="s">
        <v>15</v>
      </c>
      <c r="B14" s="2">
        <v>36</v>
      </c>
      <c r="C14" s="2">
        <v>3.969585555555555E-3</v>
      </c>
      <c r="D14" s="2"/>
      <c r="E14" s="2"/>
      <c r="F14" s="2"/>
    </row>
    <row r="15" spans="1:9" ht="13.5" thickBot="1"/>
    <row r="16" spans="1:9">
      <c r="A16" s="3"/>
      <c r="B16" s="3" t="s">
        <v>16</v>
      </c>
      <c r="C16" s="3" t="s">
        <v>5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</row>
    <row r="17" spans="1:9">
      <c r="A17" s="1" t="s">
        <v>23</v>
      </c>
      <c r="B17" s="1">
        <v>2.0439571889125051E-2</v>
      </c>
      <c r="C17" s="1">
        <v>4.1078331727778103E-3</v>
      </c>
      <c r="D17" s="1">
        <v>4.9757551072365844</v>
      </c>
      <c r="E17" s="1">
        <v>1.8466227123756572E-5</v>
      </c>
      <c r="F17" s="1">
        <v>1.2091455964867928E-2</v>
      </c>
      <c r="G17" s="1">
        <v>2.8787687813382173E-2</v>
      </c>
      <c r="H17" s="1">
        <v>1.2091455964867928E-2</v>
      </c>
      <c r="I17" s="1">
        <v>2.8787687813382173E-2</v>
      </c>
    </row>
    <row r="18" spans="1:9">
      <c r="A18" s="1" t="s">
        <v>24</v>
      </c>
      <c r="B18" s="1">
        <v>0.28552575503214506</v>
      </c>
      <c r="C18" s="1">
        <v>5.0930333272426312E-2</v>
      </c>
      <c r="D18" s="1">
        <v>5.6062023687311848</v>
      </c>
      <c r="E18" s="1">
        <v>2.7988567188328794E-6</v>
      </c>
      <c r="F18" s="1">
        <v>0.18202293290274651</v>
      </c>
      <c r="G18" s="1">
        <v>0.3890285771615436</v>
      </c>
      <c r="H18" s="1">
        <v>0.18202293290274651</v>
      </c>
      <c r="I18" s="1">
        <v>0.3890285771615436</v>
      </c>
    </row>
    <row r="19" spans="1:9" ht="13.5" thickBot="1">
      <c r="A19" s="2" t="s">
        <v>25</v>
      </c>
      <c r="B19" s="2">
        <v>-0.20878348844117026</v>
      </c>
      <c r="C19" s="2">
        <v>0.11638755889095558</v>
      </c>
      <c r="D19" s="2">
        <v>-1.7938643135971359</v>
      </c>
      <c r="E19" s="2">
        <v>8.1732787774091292E-2</v>
      </c>
      <c r="F19" s="2">
        <v>-0.44531131050604994</v>
      </c>
      <c r="G19" s="2">
        <v>2.7744333623709427E-2</v>
      </c>
      <c r="H19" s="2">
        <v>-0.44531131050604994</v>
      </c>
      <c r="I19" s="2">
        <v>2.7744333623709427E-2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selection activeCell="K51" activeCellId="1" sqref="K52:K61 K51"/>
    </sheetView>
  </sheetViews>
  <sheetFormatPr defaultColWidth="10.7109375" defaultRowHeight="36" customHeight="1"/>
  <cols>
    <col min="1" max="1" width="13.7109375" style="8" bestFit="1" customWidth="1"/>
    <col min="2" max="3" width="11.5703125" style="8" customWidth="1"/>
    <col min="4" max="4" width="10.42578125" style="8" bestFit="1" customWidth="1"/>
    <col min="5" max="5" width="9.140625" style="8" customWidth="1"/>
    <col min="6" max="6" width="9.7109375" style="8" customWidth="1"/>
    <col min="7" max="7" width="15.85546875" style="8" customWidth="1"/>
    <col min="8" max="8" width="15.5703125" style="8" bestFit="1" customWidth="1"/>
    <col min="9" max="9" width="15" style="8" customWidth="1"/>
    <col min="10" max="10" width="9.5703125" style="8" bestFit="1" customWidth="1"/>
    <col min="11" max="11" width="10.42578125" style="8" customWidth="1"/>
    <col min="12" max="12" width="13.42578125" style="8" bestFit="1" customWidth="1"/>
    <col min="13" max="13" width="18.42578125" style="8" bestFit="1" customWidth="1"/>
    <col min="14" max="14" width="18.28515625" style="8" bestFit="1" customWidth="1"/>
    <col min="15" max="15" width="18.85546875" style="8" bestFit="1" customWidth="1"/>
    <col min="16" max="16" width="18.85546875" style="8" customWidth="1"/>
    <col min="17" max="17" width="31.28515625" style="8" customWidth="1"/>
    <col min="18" max="18" width="13.85546875" style="5" customWidth="1"/>
    <col min="19" max="16384" width="10.7109375" style="5"/>
  </cols>
  <sheetData>
    <row r="1" spans="1:18" s="48" customFormat="1" ht="15.75">
      <c r="A1" s="45" t="s">
        <v>45</v>
      </c>
      <c r="B1" s="51">
        <v>42008</v>
      </c>
      <c r="C1" s="52"/>
      <c r="D1" s="52"/>
      <c r="E1" s="52"/>
      <c r="F1" s="52"/>
      <c r="G1" s="53"/>
      <c r="H1" s="46"/>
      <c r="I1" s="46"/>
      <c r="J1" s="46"/>
      <c r="K1" s="47"/>
      <c r="L1" s="47"/>
      <c r="M1" s="47"/>
      <c r="N1" s="47"/>
      <c r="O1" s="47"/>
      <c r="P1" s="47"/>
      <c r="Q1" s="47"/>
    </row>
    <row r="2" spans="1:18" s="48" customFormat="1" ht="15.75">
      <c r="A2" s="49" t="s">
        <v>46</v>
      </c>
      <c r="B2" s="54" t="s">
        <v>47</v>
      </c>
      <c r="C2" s="55"/>
      <c r="D2" s="55"/>
      <c r="E2" s="55"/>
      <c r="F2" s="55"/>
      <c r="G2" s="56"/>
      <c r="H2" s="46"/>
      <c r="I2" s="46"/>
      <c r="J2" s="46"/>
      <c r="K2" s="47"/>
      <c r="L2" s="47"/>
      <c r="M2" s="47"/>
      <c r="N2" s="47"/>
      <c r="O2" s="47"/>
      <c r="P2" s="47"/>
      <c r="Q2" s="47"/>
    </row>
    <row r="3" spans="1:18" s="48" customFormat="1" ht="15.75">
      <c r="A3" s="49" t="s">
        <v>48</v>
      </c>
      <c r="B3" s="57" t="s">
        <v>53</v>
      </c>
      <c r="C3" s="58"/>
      <c r="D3" s="58"/>
      <c r="E3" s="59"/>
      <c r="F3" s="60" t="s">
        <v>29</v>
      </c>
      <c r="G3" s="61"/>
      <c r="H3" s="46"/>
      <c r="I3" s="46"/>
      <c r="J3" s="46"/>
      <c r="K3" s="47"/>
      <c r="L3" s="47"/>
      <c r="M3" s="47"/>
      <c r="N3" s="47"/>
      <c r="O3" s="47"/>
      <c r="P3" s="47"/>
      <c r="Q3" s="47"/>
    </row>
    <row r="4" spans="1:18" s="48" customFormat="1" ht="15.75">
      <c r="A4" s="49" t="s">
        <v>49</v>
      </c>
      <c r="B4" s="62" t="s">
        <v>50</v>
      </c>
      <c r="C4" s="63"/>
      <c r="D4" s="63"/>
      <c r="E4" s="63"/>
      <c r="F4" s="63"/>
      <c r="G4" s="64"/>
      <c r="H4" s="46"/>
      <c r="I4" s="46"/>
      <c r="J4" s="46"/>
      <c r="K4" s="47"/>
      <c r="L4" s="47"/>
      <c r="M4" s="47"/>
      <c r="N4" s="47"/>
      <c r="O4" s="47"/>
      <c r="P4" s="47"/>
      <c r="Q4" s="47"/>
    </row>
    <row r="5" spans="1:18" s="48" customFormat="1" ht="15.75">
      <c r="A5" s="49" t="s">
        <v>51</v>
      </c>
      <c r="B5" s="65" t="s">
        <v>52</v>
      </c>
      <c r="C5" s="66"/>
      <c r="D5" s="66"/>
      <c r="E5" s="66"/>
      <c r="F5" s="66"/>
      <c r="G5" s="67"/>
      <c r="H5" s="46"/>
      <c r="I5" s="46"/>
      <c r="J5" s="46"/>
      <c r="K5" s="47"/>
      <c r="L5" s="47"/>
      <c r="M5" s="47"/>
      <c r="N5" s="47"/>
      <c r="O5" s="47"/>
      <c r="P5" s="47"/>
      <c r="Q5" s="47"/>
    </row>
    <row r="7" spans="1:18" s="10" customFormat="1" ht="25.5">
      <c r="A7" s="37" t="s">
        <v>26</v>
      </c>
      <c r="B7" s="37" t="s">
        <v>27</v>
      </c>
      <c r="C7" s="37" t="s">
        <v>28</v>
      </c>
      <c r="D7" s="37" t="s">
        <v>29</v>
      </c>
      <c r="E7" s="37" t="s">
        <v>40</v>
      </c>
      <c r="F7" s="37" t="s">
        <v>41</v>
      </c>
      <c r="G7" s="37" t="s">
        <v>44</v>
      </c>
      <c r="H7" s="37" t="s">
        <v>30</v>
      </c>
      <c r="I7" s="37" t="s">
        <v>31</v>
      </c>
      <c r="J7" s="37" t="s">
        <v>32</v>
      </c>
      <c r="K7" s="37" t="s">
        <v>33</v>
      </c>
      <c r="L7" s="37" t="s">
        <v>34</v>
      </c>
      <c r="M7" s="38" t="s">
        <v>35</v>
      </c>
      <c r="N7" s="37" t="s">
        <v>36</v>
      </c>
      <c r="O7" s="39" t="s">
        <v>37</v>
      </c>
      <c r="P7" s="39" t="s">
        <v>38</v>
      </c>
      <c r="Q7" s="40" t="s">
        <v>43</v>
      </c>
      <c r="R7" s="41" t="s">
        <v>39</v>
      </c>
    </row>
    <row r="8" spans="1:18" s="11" customFormat="1" ht="12.75">
      <c r="A8" s="18">
        <v>1960</v>
      </c>
      <c r="B8" s="19">
        <v>5.3400000000000003E-2</v>
      </c>
      <c r="C8" s="19">
        <v>3.4099999999999998E-2</v>
      </c>
      <c r="D8" s="18">
        <v>58.11</v>
      </c>
      <c r="E8" s="20">
        <v>3.1030739999999999</v>
      </c>
      <c r="F8" s="20">
        <f t="shared" ref="F8:F41" si="0">C8*D8</f>
        <v>1.9815509999999998</v>
      </c>
      <c r="G8" s="20"/>
      <c r="H8" s="18"/>
      <c r="I8" s="18"/>
      <c r="J8" s="21">
        <v>2.6599999999999999E-2</v>
      </c>
      <c r="K8" s="21">
        <v>2.76E-2</v>
      </c>
      <c r="L8" s="21">
        <f>K8-J8</f>
        <v>1.0000000000000009E-3</v>
      </c>
      <c r="M8" s="21">
        <f t="shared" ref="M8:M43" si="1">K8*(1/K8)/(((1-(1+K8)^(-5))/K8)+1/K8)+I8*((1-(1+K8)^(-5))/K8)/(((1-(1+K8)^(-5))/K8)+1/K8)</f>
        <v>2.4483913485573581E-2</v>
      </c>
      <c r="N8" s="19"/>
      <c r="O8" s="19"/>
      <c r="P8" s="19"/>
      <c r="Q8" s="19"/>
      <c r="R8" s="34"/>
    </row>
    <row r="9" spans="1:18" s="11" customFormat="1" ht="12.75">
      <c r="A9" s="18">
        <v>1961</v>
      </c>
      <c r="B9" s="19">
        <v>4.7100000000000003E-2</v>
      </c>
      <c r="C9" s="19">
        <v>2.8500000000000001E-2</v>
      </c>
      <c r="D9" s="18">
        <v>71.55</v>
      </c>
      <c r="E9" s="20">
        <v>3.3700049999999999</v>
      </c>
      <c r="F9" s="20">
        <f t="shared" si="0"/>
        <v>2.0391750000000002</v>
      </c>
      <c r="G9" s="20"/>
      <c r="H9" s="21">
        <f t="shared" ref="H9:H40" si="2">E9/E8-1</f>
        <v>8.6021474189787339E-2</v>
      </c>
      <c r="I9" s="21">
        <f t="shared" ref="I9:I40" si="3">F9/F8-1</f>
        <v>2.9080250773258154E-2</v>
      </c>
      <c r="J9" s="21">
        <v>2.1299999999999999E-2</v>
      </c>
      <c r="K9" s="21">
        <v>2.35E-2</v>
      </c>
      <c r="L9" s="21">
        <f t="shared" ref="L9:L50" si="4">K9-J9</f>
        <v>2.2000000000000006E-3</v>
      </c>
      <c r="M9" s="21">
        <f t="shared" si="1"/>
        <v>2.4051412136228283E-2</v>
      </c>
      <c r="N9" s="19">
        <v>2.92E-2</v>
      </c>
      <c r="O9" s="19"/>
      <c r="P9" s="19">
        <f t="shared" ref="P9:P32" si="5">N9</f>
        <v>2.92E-2</v>
      </c>
      <c r="Q9" s="19"/>
      <c r="R9" s="35">
        <f>P9/K9</f>
        <v>1.2425531914893617</v>
      </c>
    </row>
    <row r="10" spans="1:18" s="11" customFormat="1" ht="12.75">
      <c r="A10" s="18">
        <v>1962</v>
      </c>
      <c r="B10" s="19">
        <v>5.8099999999999999E-2</v>
      </c>
      <c r="C10" s="19">
        <v>3.4000000000000002E-2</v>
      </c>
      <c r="D10" s="18">
        <v>63.1</v>
      </c>
      <c r="E10" s="20">
        <v>3.6661100000000002</v>
      </c>
      <c r="F10" s="20">
        <f t="shared" si="0"/>
        <v>2.1454000000000004</v>
      </c>
      <c r="G10" s="20"/>
      <c r="H10" s="21">
        <f t="shared" si="2"/>
        <v>8.786485479991879E-2</v>
      </c>
      <c r="I10" s="21">
        <f t="shared" si="3"/>
        <v>5.2092145107702992E-2</v>
      </c>
      <c r="J10" s="21">
        <v>2.7300000000000001E-2</v>
      </c>
      <c r="K10" s="19">
        <v>3.85E-2</v>
      </c>
      <c r="L10" s="21">
        <f t="shared" si="4"/>
        <v>1.1199999999999998E-2</v>
      </c>
      <c r="M10" s="21">
        <f t="shared" si="1"/>
        <v>4.0495937022318101E-2</v>
      </c>
      <c r="N10" s="19">
        <v>3.56E-2</v>
      </c>
      <c r="O10" s="19"/>
      <c r="P10" s="19">
        <f t="shared" si="5"/>
        <v>3.56E-2</v>
      </c>
      <c r="Q10" s="19"/>
      <c r="R10" s="35">
        <f t="shared" ref="R10:R67" si="6">P10/K10</f>
        <v>0.92467532467532465</v>
      </c>
    </row>
    <row r="11" spans="1:18" s="11" customFormat="1" ht="12.75">
      <c r="A11" s="18">
        <v>1963</v>
      </c>
      <c r="B11" s="19">
        <v>5.5100000000000003E-2</v>
      </c>
      <c r="C11" s="19">
        <v>3.1300000000000001E-2</v>
      </c>
      <c r="D11" s="18">
        <v>75.02</v>
      </c>
      <c r="E11" s="20">
        <v>4.1336019999999998</v>
      </c>
      <c r="F11" s="20">
        <f t="shared" si="0"/>
        <v>2.3481260000000002</v>
      </c>
      <c r="G11" s="20"/>
      <c r="H11" s="21">
        <f t="shared" si="2"/>
        <v>0.12751717760787318</v>
      </c>
      <c r="I11" s="21">
        <f t="shared" si="3"/>
        <v>9.4493334576302601E-2</v>
      </c>
      <c r="J11" s="21">
        <v>3.1199999999999999E-2</v>
      </c>
      <c r="K11" s="19">
        <v>4.1399999999999999E-2</v>
      </c>
      <c r="L11" s="21">
        <f t="shared" si="4"/>
        <v>1.0200000000000001E-2</v>
      </c>
      <c r="M11" s="21">
        <f t="shared" si="1"/>
        <v>4.9635185632241924E-2</v>
      </c>
      <c r="N11" s="19">
        <v>3.3799999999999997E-2</v>
      </c>
      <c r="O11" s="19"/>
      <c r="P11" s="19">
        <f t="shared" si="5"/>
        <v>3.3799999999999997E-2</v>
      </c>
      <c r="Q11" s="19"/>
      <c r="R11" s="35">
        <f t="shared" si="6"/>
        <v>0.81642512077294682</v>
      </c>
    </row>
    <row r="12" spans="1:18" s="11" customFormat="1" ht="12.75">
      <c r="A12" s="18">
        <v>1964</v>
      </c>
      <c r="B12" s="19">
        <v>5.62E-2</v>
      </c>
      <c r="C12" s="19">
        <v>3.0499999999999999E-2</v>
      </c>
      <c r="D12" s="18">
        <v>84.75</v>
      </c>
      <c r="E12" s="20">
        <v>4.76295</v>
      </c>
      <c r="F12" s="20">
        <f t="shared" si="0"/>
        <v>2.5848749999999998</v>
      </c>
      <c r="G12" s="20"/>
      <c r="H12" s="21">
        <f t="shared" si="2"/>
        <v>0.15225171654165059</v>
      </c>
      <c r="I12" s="21">
        <f t="shared" si="3"/>
        <v>0.10082465762058757</v>
      </c>
      <c r="J12" s="21">
        <v>3.5400000000000001E-2</v>
      </c>
      <c r="K12" s="19">
        <v>4.2099999999999999E-2</v>
      </c>
      <c r="L12" s="21">
        <f t="shared" si="4"/>
        <v>6.6999999999999976E-3</v>
      </c>
      <c r="M12" s="21">
        <f t="shared" si="1"/>
        <v>5.1323174002281396E-2</v>
      </c>
      <c r="N12" s="19">
        <v>3.3099999999999997E-2</v>
      </c>
      <c r="O12" s="19"/>
      <c r="P12" s="19">
        <f t="shared" si="5"/>
        <v>3.3099999999999997E-2</v>
      </c>
      <c r="Q12" s="19"/>
      <c r="R12" s="35">
        <f t="shared" si="6"/>
        <v>0.78622327790973867</v>
      </c>
    </row>
    <row r="13" spans="1:18" s="11" customFormat="1" ht="12.75">
      <c r="A13" s="18">
        <v>1965</v>
      </c>
      <c r="B13" s="19">
        <v>5.7299999999999997E-2</v>
      </c>
      <c r="C13" s="19">
        <v>3.0599999999999999E-2</v>
      </c>
      <c r="D13" s="18">
        <v>92.43</v>
      </c>
      <c r="E13" s="20">
        <v>5.2962389999999999</v>
      </c>
      <c r="F13" s="20">
        <f t="shared" si="0"/>
        <v>2.8283580000000001</v>
      </c>
      <c r="G13" s="20"/>
      <c r="H13" s="21">
        <f t="shared" si="2"/>
        <v>0.11196611343810026</v>
      </c>
      <c r="I13" s="21">
        <f t="shared" si="3"/>
        <v>9.4195270564340738E-2</v>
      </c>
      <c r="J13" s="21">
        <v>3.9300000000000002E-2</v>
      </c>
      <c r="K13" s="19">
        <v>4.65E-2</v>
      </c>
      <c r="L13" s="21">
        <f t="shared" si="4"/>
        <v>7.1999999999999981E-3</v>
      </c>
      <c r="M13" s="21">
        <f t="shared" si="1"/>
        <v>5.4557668626342967E-2</v>
      </c>
      <c r="N13" s="19">
        <v>3.32E-2</v>
      </c>
      <c r="O13" s="19"/>
      <c r="P13" s="19">
        <f t="shared" si="5"/>
        <v>3.32E-2</v>
      </c>
      <c r="Q13" s="19"/>
      <c r="R13" s="35">
        <f t="shared" si="6"/>
        <v>0.71397849462365592</v>
      </c>
    </row>
    <row r="14" spans="1:18" s="11" customFormat="1" ht="12.75">
      <c r="A14" s="18">
        <v>1966</v>
      </c>
      <c r="B14" s="19">
        <v>6.7400000000000002E-2</v>
      </c>
      <c r="C14" s="19">
        <v>3.5900000000000001E-2</v>
      </c>
      <c r="D14" s="18">
        <v>80.33</v>
      </c>
      <c r="E14" s="20">
        <v>5.4142419999999998</v>
      </c>
      <c r="F14" s="20">
        <f t="shared" si="0"/>
        <v>2.8838469999999998</v>
      </c>
      <c r="G14" s="20"/>
      <c r="H14" s="21">
        <f t="shared" si="2"/>
        <v>2.2280527748086865E-2</v>
      </c>
      <c r="I14" s="21">
        <f t="shared" si="3"/>
        <v>1.9618803560228049E-2</v>
      </c>
      <c r="J14" s="21">
        <v>4.7600000000000003E-2</v>
      </c>
      <c r="K14" s="19">
        <v>4.6399999999999997E-2</v>
      </c>
      <c r="L14" s="21">
        <f t="shared" si="4"/>
        <v>-1.2000000000000066E-3</v>
      </c>
      <c r="M14" s="21">
        <f t="shared" si="1"/>
        <v>4.1882613199841295E-2</v>
      </c>
      <c r="N14" s="19">
        <v>3.6799999999999999E-2</v>
      </c>
      <c r="O14" s="19"/>
      <c r="P14" s="19">
        <f t="shared" si="5"/>
        <v>3.6799999999999999E-2</v>
      </c>
      <c r="Q14" s="19"/>
      <c r="R14" s="35">
        <f t="shared" si="6"/>
        <v>0.7931034482758621</v>
      </c>
    </row>
    <row r="15" spans="1:18" s="11" customFormat="1" ht="12.75">
      <c r="A15" s="18">
        <v>1967</v>
      </c>
      <c r="B15" s="19">
        <v>5.6599999999999998E-2</v>
      </c>
      <c r="C15" s="19">
        <v>3.09E-2</v>
      </c>
      <c r="D15" s="18">
        <v>96.47</v>
      </c>
      <c r="E15" s="20">
        <v>5.4602019999999998</v>
      </c>
      <c r="F15" s="20">
        <f t="shared" si="0"/>
        <v>2.9809230000000002</v>
      </c>
      <c r="G15" s="20"/>
      <c r="H15" s="21">
        <f t="shared" si="2"/>
        <v>8.4887228904804157E-3</v>
      </c>
      <c r="I15" s="21">
        <f t="shared" si="3"/>
        <v>3.3661979987149149E-2</v>
      </c>
      <c r="J15" s="21">
        <v>4.2099999999999999E-2</v>
      </c>
      <c r="K15" s="19">
        <v>5.7000000000000002E-2</v>
      </c>
      <c r="L15" s="21">
        <f t="shared" si="4"/>
        <v>1.4900000000000004E-2</v>
      </c>
      <c r="M15" s="21">
        <f t="shared" si="1"/>
        <v>5.2451490831111489E-2</v>
      </c>
      <c r="N15" s="19">
        <v>3.2000000000000001E-2</v>
      </c>
      <c r="O15" s="19"/>
      <c r="P15" s="19">
        <f t="shared" si="5"/>
        <v>3.2000000000000001E-2</v>
      </c>
      <c r="Q15" s="19"/>
      <c r="R15" s="35">
        <f t="shared" si="6"/>
        <v>0.56140350877192979</v>
      </c>
    </row>
    <row r="16" spans="1:18" s="11" customFormat="1" ht="12.75">
      <c r="A16" s="18">
        <v>1968</v>
      </c>
      <c r="B16" s="19">
        <v>5.5100000000000003E-2</v>
      </c>
      <c r="C16" s="19">
        <v>2.93E-2</v>
      </c>
      <c r="D16" s="18">
        <v>103.86</v>
      </c>
      <c r="E16" s="20">
        <v>5.7226860000000004</v>
      </c>
      <c r="F16" s="20">
        <f t="shared" si="0"/>
        <v>3.0430980000000001</v>
      </c>
      <c r="G16" s="20"/>
      <c r="H16" s="21">
        <f t="shared" si="2"/>
        <v>4.807221417815688E-2</v>
      </c>
      <c r="I16" s="21">
        <f t="shared" si="3"/>
        <v>2.0857633692651589E-2</v>
      </c>
      <c r="J16" s="21">
        <v>5.21E-2</v>
      </c>
      <c r="K16" s="19">
        <v>6.1600000000000002E-2</v>
      </c>
      <c r="L16" s="21">
        <f t="shared" si="4"/>
        <v>9.5000000000000015E-3</v>
      </c>
      <c r="M16" s="21">
        <f t="shared" si="1"/>
        <v>5.3235088299720575E-2</v>
      </c>
      <c r="N16" s="19">
        <v>0.03</v>
      </c>
      <c r="O16" s="19"/>
      <c r="P16" s="19">
        <f t="shared" si="5"/>
        <v>0.03</v>
      </c>
      <c r="Q16" s="19"/>
      <c r="R16" s="35">
        <f t="shared" si="6"/>
        <v>0.48701298701298695</v>
      </c>
    </row>
    <row r="17" spans="1:18" s="11" customFormat="1" ht="12.75">
      <c r="A17" s="18">
        <v>1969</v>
      </c>
      <c r="B17" s="19">
        <v>6.6299999999999998E-2</v>
      </c>
      <c r="C17" s="19">
        <v>3.5200000000000002E-2</v>
      </c>
      <c r="D17" s="18">
        <v>92.06</v>
      </c>
      <c r="E17" s="20">
        <v>6.1035779999999997</v>
      </c>
      <c r="F17" s="20">
        <f t="shared" si="0"/>
        <v>3.2405120000000003</v>
      </c>
      <c r="G17" s="20"/>
      <c r="H17" s="21">
        <f t="shared" si="2"/>
        <v>6.6558256035714525E-2</v>
      </c>
      <c r="I17" s="21">
        <f t="shared" si="3"/>
        <v>6.4872705381161078E-2</v>
      </c>
      <c r="J17" s="21">
        <v>6.5799999999999997E-2</v>
      </c>
      <c r="K17" s="19">
        <v>7.8799999999999995E-2</v>
      </c>
      <c r="L17" s="21">
        <f t="shared" si="4"/>
        <v>1.2999999999999998E-2</v>
      </c>
      <c r="M17" s="21">
        <f t="shared" si="1"/>
        <v>7.5458787443296774E-2</v>
      </c>
      <c r="N17" s="19">
        <v>3.7400000000000003E-2</v>
      </c>
      <c r="O17" s="19"/>
      <c r="P17" s="19">
        <f t="shared" si="5"/>
        <v>3.7400000000000003E-2</v>
      </c>
      <c r="Q17" s="19"/>
      <c r="R17" s="35">
        <f t="shared" si="6"/>
        <v>0.47461928934010161</v>
      </c>
    </row>
    <row r="18" spans="1:18" s="11" customFormat="1" ht="12.75">
      <c r="A18" s="18">
        <v>1970</v>
      </c>
      <c r="B18" s="19">
        <v>5.9799999999999999E-2</v>
      </c>
      <c r="C18" s="19">
        <v>3.4599999999999999E-2</v>
      </c>
      <c r="D18" s="18">
        <v>92.15</v>
      </c>
      <c r="E18" s="20">
        <v>5.5105700000000004</v>
      </c>
      <c r="F18" s="20">
        <f t="shared" si="0"/>
        <v>3.1883900000000001</v>
      </c>
      <c r="G18" s="20"/>
      <c r="H18" s="21">
        <f t="shared" si="2"/>
        <v>-9.7157437817620984E-2</v>
      </c>
      <c r="I18" s="21">
        <f t="shared" si="3"/>
        <v>-1.6084495289633294E-2</v>
      </c>
      <c r="J18" s="21">
        <v>6.5299999999999997E-2</v>
      </c>
      <c r="K18" s="19">
        <v>6.5000000000000002E-2</v>
      </c>
      <c r="L18" s="21">
        <f t="shared" si="4"/>
        <v>-2.9999999999999472E-4</v>
      </c>
      <c r="M18" s="21">
        <f t="shared" si="1"/>
        <v>4.7755573911063443E-2</v>
      </c>
      <c r="N18" s="19">
        <v>3.4099999999999998E-2</v>
      </c>
      <c r="O18" s="19"/>
      <c r="P18" s="19">
        <f t="shared" si="5"/>
        <v>3.4099999999999998E-2</v>
      </c>
      <c r="Q18" s="19"/>
      <c r="R18" s="35">
        <f t="shared" si="6"/>
        <v>0.52461538461538459</v>
      </c>
    </row>
    <row r="19" spans="1:18" s="11" customFormat="1" ht="12.75">
      <c r="A19" s="18">
        <v>1971</v>
      </c>
      <c r="B19" s="19">
        <v>5.4600000000000003E-2</v>
      </c>
      <c r="C19" s="19">
        <v>3.1E-2</v>
      </c>
      <c r="D19" s="18">
        <v>102.09</v>
      </c>
      <c r="E19" s="20">
        <v>5.5741139999999998</v>
      </c>
      <c r="F19" s="20">
        <f t="shared" si="0"/>
        <v>3.16479</v>
      </c>
      <c r="G19" s="20"/>
      <c r="H19" s="21">
        <f t="shared" si="2"/>
        <v>1.1531293495953943E-2</v>
      </c>
      <c r="I19" s="21">
        <f t="shared" si="3"/>
        <v>-7.4018548546445073E-3</v>
      </c>
      <c r="J19" s="21">
        <v>4.3900000000000002E-2</v>
      </c>
      <c r="K19" s="19">
        <v>5.8900000000000001E-2</v>
      </c>
      <c r="L19" s="21">
        <f t="shared" si="4"/>
        <v>1.4999999999999999E-2</v>
      </c>
      <c r="M19" s="21">
        <f t="shared" si="1"/>
        <v>4.568836822864536E-2</v>
      </c>
      <c r="N19" s="19">
        <v>3.09E-2</v>
      </c>
      <c r="O19" s="19"/>
      <c r="P19" s="19">
        <f t="shared" si="5"/>
        <v>3.09E-2</v>
      </c>
      <c r="Q19" s="19"/>
      <c r="R19" s="35">
        <f t="shared" si="6"/>
        <v>0.52461799660441422</v>
      </c>
    </row>
    <row r="20" spans="1:18" s="11" customFormat="1" ht="12.75">
      <c r="A20" s="18">
        <v>1972</v>
      </c>
      <c r="B20" s="19">
        <v>5.2299999999999999E-2</v>
      </c>
      <c r="C20" s="19">
        <v>2.7E-2</v>
      </c>
      <c r="D20" s="18">
        <v>118.05</v>
      </c>
      <c r="E20" s="20">
        <v>6.1740149999999998</v>
      </c>
      <c r="F20" s="20">
        <f t="shared" si="0"/>
        <v>3.1873499999999999</v>
      </c>
      <c r="G20" s="20"/>
      <c r="H20" s="21">
        <f t="shared" si="2"/>
        <v>0.10762266433732792</v>
      </c>
      <c r="I20" s="21">
        <f t="shared" si="3"/>
        <v>7.1284350620419712E-3</v>
      </c>
      <c r="J20" s="21">
        <v>3.8399999999999997E-2</v>
      </c>
      <c r="K20" s="19">
        <v>6.4100000000000004E-2</v>
      </c>
      <c r="L20" s="21">
        <f t="shared" si="4"/>
        <v>2.5700000000000008E-2</v>
      </c>
      <c r="M20" s="21">
        <f t="shared" si="1"/>
        <v>5.2093183472223248E-2</v>
      </c>
      <c r="N20" s="19">
        <v>2.7199999999999998E-2</v>
      </c>
      <c r="O20" s="19"/>
      <c r="P20" s="19">
        <f t="shared" si="5"/>
        <v>2.7199999999999998E-2</v>
      </c>
      <c r="Q20" s="19"/>
      <c r="R20" s="35">
        <f t="shared" si="6"/>
        <v>0.42433697347893912</v>
      </c>
    </row>
    <row r="21" spans="1:18" s="11" customFormat="1" ht="12.75">
      <c r="A21" s="18">
        <v>1973</v>
      </c>
      <c r="B21" s="19">
        <v>8.1600000000000006E-2</v>
      </c>
      <c r="C21" s="19">
        <v>3.6999999999999998E-2</v>
      </c>
      <c r="D21" s="18">
        <v>97.55</v>
      </c>
      <c r="E21" s="20">
        <v>7.9600799999999996</v>
      </c>
      <c r="F21" s="20">
        <f t="shared" si="0"/>
        <v>3.6093499999999996</v>
      </c>
      <c r="G21" s="20"/>
      <c r="H21" s="21">
        <f t="shared" si="2"/>
        <v>0.28928744099261183</v>
      </c>
      <c r="I21" s="21">
        <f t="shared" si="3"/>
        <v>0.13239838737509202</v>
      </c>
      <c r="J21" s="21">
        <v>6.93E-2</v>
      </c>
      <c r="K21" s="19">
        <v>6.9000000000000006E-2</v>
      </c>
      <c r="L21" s="21">
        <f t="shared" si="4"/>
        <v>-2.9999999999999472E-4</v>
      </c>
      <c r="M21" s="21">
        <f t="shared" si="1"/>
        <v>8.3010108714056313E-2</v>
      </c>
      <c r="N21" s="19">
        <v>4.2999999999999997E-2</v>
      </c>
      <c r="O21" s="19"/>
      <c r="P21" s="19">
        <f t="shared" si="5"/>
        <v>4.2999999999999997E-2</v>
      </c>
      <c r="Q21" s="19"/>
      <c r="R21" s="35">
        <f t="shared" si="6"/>
        <v>0.62318840579710133</v>
      </c>
    </row>
    <row r="22" spans="1:18" s="11" customFormat="1" ht="12.75">
      <c r="A22" s="18">
        <v>1974</v>
      </c>
      <c r="B22" s="19">
        <v>0.13639999999999999</v>
      </c>
      <c r="C22" s="19">
        <v>5.4300000000000001E-2</v>
      </c>
      <c r="D22" s="18">
        <v>68.56</v>
      </c>
      <c r="E22" s="20">
        <v>9.3515840000000008</v>
      </c>
      <c r="F22" s="20">
        <f t="shared" si="0"/>
        <v>3.7228080000000001</v>
      </c>
      <c r="G22" s="20"/>
      <c r="H22" s="21">
        <f t="shared" si="2"/>
        <v>0.17481030341403625</v>
      </c>
      <c r="I22" s="21">
        <f t="shared" si="3"/>
        <v>3.1434468810173755E-2</v>
      </c>
      <c r="J22" s="21">
        <v>0.08</v>
      </c>
      <c r="K22" s="19">
        <v>7.3999999999999996E-2</v>
      </c>
      <c r="L22" s="21">
        <f t="shared" si="4"/>
        <v>-6.0000000000000053E-3</v>
      </c>
      <c r="M22" s="21">
        <f t="shared" si="1"/>
        <v>6.4172337410536948E-2</v>
      </c>
      <c r="N22" s="19">
        <v>5.5899999999999998E-2</v>
      </c>
      <c r="O22" s="19"/>
      <c r="P22" s="19">
        <f t="shared" si="5"/>
        <v>5.5899999999999998E-2</v>
      </c>
      <c r="Q22" s="19"/>
      <c r="R22" s="35">
        <f t="shared" si="6"/>
        <v>0.75540540540540546</v>
      </c>
    </row>
    <row r="23" spans="1:18" s="11" customFormat="1" ht="12.75">
      <c r="A23" s="18">
        <v>1975</v>
      </c>
      <c r="B23" s="19">
        <v>8.5500000000000007E-2</v>
      </c>
      <c r="C23" s="19">
        <v>4.1399999999999999E-2</v>
      </c>
      <c r="D23" s="18">
        <v>90.19</v>
      </c>
      <c r="E23" s="20">
        <v>7.7112449999999999</v>
      </c>
      <c r="F23" s="20">
        <f t="shared" si="0"/>
        <v>3.7338659999999999</v>
      </c>
      <c r="G23" s="20"/>
      <c r="H23" s="21">
        <f t="shared" si="2"/>
        <v>-0.17540761009044037</v>
      </c>
      <c r="I23" s="21">
        <f t="shared" si="3"/>
        <v>2.9703385186665709E-3</v>
      </c>
      <c r="J23" s="21">
        <v>5.8000000000000003E-2</v>
      </c>
      <c r="K23" s="19">
        <v>7.7600000000000002E-2</v>
      </c>
      <c r="L23" s="21">
        <f t="shared" si="4"/>
        <v>1.9599999999999999E-2</v>
      </c>
      <c r="M23" s="21">
        <f t="shared" si="1"/>
        <v>5.986119743280912E-2</v>
      </c>
      <c r="N23" s="19">
        <v>4.1300000000000003E-2</v>
      </c>
      <c r="O23" s="19"/>
      <c r="P23" s="19">
        <f t="shared" si="5"/>
        <v>4.1300000000000003E-2</v>
      </c>
      <c r="Q23" s="19"/>
      <c r="R23" s="35">
        <f t="shared" si="6"/>
        <v>0.53221649484536082</v>
      </c>
    </row>
    <row r="24" spans="1:18" s="11" customFormat="1" ht="12.75">
      <c r="A24" s="18">
        <v>1976</v>
      </c>
      <c r="B24" s="19">
        <v>9.0700000000000003E-2</v>
      </c>
      <c r="C24" s="19">
        <v>3.9300000000000002E-2</v>
      </c>
      <c r="D24" s="18">
        <v>107.46</v>
      </c>
      <c r="E24" s="20">
        <v>9.7466220000000003</v>
      </c>
      <c r="F24" s="20">
        <f t="shared" si="0"/>
        <v>4.2231779999999999</v>
      </c>
      <c r="G24" s="20"/>
      <c r="H24" s="21">
        <f t="shared" si="2"/>
        <v>0.26394920664561949</v>
      </c>
      <c r="I24" s="21">
        <f t="shared" si="3"/>
        <v>0.13104701668458385</v>
      </c>
      <c r="J24" s="21">
        <v>5.0799999999999998E-2</v>
      </c>
      <c r="K24" s="19">
        <v>6.8099999999999994E-2</v>
      </c>
      <c r="L24" s="21">
        <f t="shared" si="4"/>
        <v>1.7299999999999996E-2</v>
      </c>
      <c r="M24" s="21">
        <f t="shared" si="1"/>
        <v>8.1894608866066546E-2</v>
      </c>
      <c r="N24" s="19">
        <v>4.5499999999999999E-2</v>
      </c>
      <c r="O24" s="19"/>
      <c r="P24" s="19">
        <f t="shared" si="5"/>
        <v>4.5499999999999999E-2</v>
      </c>
      <c r="Q24" s="19"/>
      <c r="R24" s="35">
        <f t="shared" si="6"/>
        <v>0.66813509544787086</v>
      </c>
    </row>
    <row r="25" spans="1:18" s="11" customFormat="1" ht="12.75">
      <c r="A25" s="18">
        <v>1977</v>
      </c>
      <c r="B25" s="19">
        <v>0.1143</v>
      </c>
      <c r="C25" s="19">
        <v>5.11E-2</v>
      </c>
      <c r="D25" s="18">
        <v>95.1</v>
      </c>
      <c r="E25" s="20">
        <v>10.86993</v>
      </c>
      <c r="F25" s="20">
        <f t="shared" si="0"/>
        <v>4.85961</v>
      </c>
      <c r="G25" s="20"/>
      <c r="H25" s="21">
        <f t="shared" si="2"/>
        <v>0.11525100696425894</v>
      </c>
      <c r="I25" s="21">
        <f t="shared" si="3"/>
        <v>0.15069978106534943</v>
      </c>
      <c r="J25" s="21">
        <v>5.1200000000000002E-2</v>
      </c>
      <c r="K25" s="19">
        <v>7.7799999999999994E-2</v>
      </c>
      <c r="L25" s="21">
        <f t="shared" si="4"/>
        <v>2.6599999999999992E-2</v>
      </c>
      <c r="M25" s="21">
        <f t="shared" si="1"/>
        <v>9.5154651970574614E-2</v>
      </c>
      <c r="N25" s="19">
        <v>5.9200000000000003E-2</v>
      </c>
      <c r="O25" s="19"/>
      <c r="P25" s="19">
        <f t="shared" si="5"/>
        <v>5.9200000000000003E-2</v>
      </c>
      <c r="Q25" s="19"/>
      <c r="R25" s="35">
        <f t="shared" si="6"/>
        <v>0.76092544987146538</v>
      </c>
    </row>
    <row r="26" spans="1:18" s="11" customFormat="1" ht="12.75">
      <c r="A26" s="18">
        <v>1978</v>
      </c>
      <c r="B26" s="19">
        <v>0.1211</v>
      </c>
      <c r="C26" s="19">
        <v>5.3900000000000003E-2</v>
      </c>
      <c r="D26" s="18">
        <v>96.11</v>
      </c>
      <c r="E26" s="20">
        <v>11.638921</v>
      </c>
      <c r="F26" s="20">
        <f t="shared" si="0"/>
        <v>5.1803290000000004</v>
      </c>
      <c r="G26" s="20"/>
      <c r="H26" s="21">
        <f t="shared" si="2"/>
        <v>7.0744797804585646E-2</v>
      </c>
      <c r="I26" s="21">
        <f t="shared" si="3"/>
        <v>6.5996859830315779E-2</v>
      </c>
      <c r="J26" s="21">
        <v>7.1800000000000003E-2</v>
      </c>
      <c r="K26" s="19">
        <v>9.1499999999999998E-2</v>
      </c>
      <c r="L26" s="21">
        <f t="shared" si="4"/>
        <v>1.9699999999999995E-2</v>
      </c>
      <c r="M26" s="21">
        <f t="shared" si="1"/>
        <v>8.4825004456029071E-2</v>
      </c>
      <c r="N26" s="19">
        <v>5.7200000000000001E-2</v>
      </c>
      <c r="O26" s="19"/>
      <c r="P26" s="19">
        <f t="shared" si="5"/>
        <v>5.7200000000000001E-2</v>
      </c>
      <c r="Q26" s="19"/>
      <c r="R26" s="35">
        <f t="shared" si="6"/>
        <v>0.625136612021858</v>
      </c>
    </row>
    <row r="27" spans="1:18" s="11" customFormat="1" ht="12.75">
      <c r="A27" s="18">
        <v>1979</v>
      </c>
      <c r="B27" s="19">
        <v>0.1348</v>
      </c>
      <c r="C27" s="19">
        <v>5.5300000000000002E-2</v>
      </c>
      <c r="D27" s="18">
        <v>107.94</v>
      </c>
      <c r="E27" s="20">
        <v>14.550312</v>
      </c>
      <c r="F27" s="20">
        <f t="shared" si="0"/>
        <v>5.9690820000000002</v>
      </c>
      <c r="G27" s="20"/>
      <c r="H27" s="21">
        <f t="shared" si="2"/>
        <v>0.25014268934379746</v>
      </c>
      <c r="I27" s="21">
        <f t="shared" si="3"/>
        <v>0.15225924839908811</v>
      </c>
      <c r="J27" s="21">
        <v>0.1038</v>
      </c>
      <c r="K27" s="19">
        <v>0.1033</v>
      </c>
      <c r="L27" s="21">
        <f t="shared" si="4"/>
        <v>-5.0000000000000044E-4</v>
      </c>
      <c r="M27" s="21">
        <f t="shared" si="1"/>
        <v>0.11699387204372322</v>
      </c>
      <c r="N27" s="19">
        <v>6.4500000000000002E-2</v>
      </c>
      <c r="O27" s="19"/>
      <c r="P27" s="19">
        <f t="shared" si="5"/>
        <v>6.4500000000000002E-2</v>
      </c>
      <c r="Q27" s="19"/>
      <c r="R27" s="35">
        <f t="shared" si="6"/>
        <v>0.62439496611810263</v>
      </c>
    </row>
    <row r="28" spans="1:18" s="11" customFormat="1" ht="12.75">
      <c r="A28" s="18">
        <v>1980</v>
      </c>
      <c r="B28" s="19">
        <v>0.1104</v>
      </c>
      <c r="C28" s="19">
        <v>4.7399999999999998E-2</v>
      </c>
      <c r="D28" s="18">
        <v>135.76</v>
      </c>
      <c r="E28" s="20">
        <v>14.987904</v>
      </c>
      <c r="F28" s="20">
        <f t="shared" si="0"/>
        <v>6.4350239999999994</v>
      </c>
      <c r="G28" s="20"/>
      <c r="H28" s="21">
        <f t="shared" si="2"/>
        <v>3.0074406651898533E-2</v>
      </c>
      <c r="I28" s="21">
        <f t="shared" si="3"/>
        <v>7.805923925990621E-2</v>
      </c>
      <c r="J28" s="21">
        <v>0.1124</v>
      </c>
      <c r="K28" s="19">
        <v>0.12429999999999999</v>
      </c>
      <c r="L28" s="21">
        <f t="shared" si="4"/>
        <v>1.1899999999999994E-2</v>
      </c>
      <c r="M28" s="21">
        <f t="shared" si="1"/>
        <v>0.11009653945232105</v>
      </c>
      <c r="N28" s="19">
        <v>5.0299999999999997E-2</v>
      </c>
      <c r="O28" s="19"/>
      <c r="P28" s="19">
        <f t="shared" si="5"/>
        <v>5.0299999999999997E-2</v>
      </c>
      <c r="Q28" s="19"/>
      <c r="R28" s="35">
        <f t="shared" si="6"/>
        <v>0.40466613032984716</v>
      </c>
    </row>
    <row r="29" spans="1:18" s="11" customFormat="1" ht="12.75">
      <c r="A29" s="18">
        <v>1981</v>
      </c>
      <c r="B29" s="19">
        <v>0.1239</v>
      </c>
      <c r="C29" s="19">
        <v>5.57E-2</v>
      </c>
      <c r="D29" s="18">
        <v>122.55</v>
      </c>
      <c r="E29" s="20">
        <v>15.183945</v>
      </c>
      <c r="F29" s="20">
        <f t="shared" si="0"/>
        <v>6.8260350000000001</v>
      </c>
      <c r="G29" s="20"/>
      <c r="H29" s="21">
        <f t="shared" si="2"/>
        <v>1.3079947669800918E-2</v>
      </c>
      <c r="I29" s="21">
        <f t="shared" si="3"/>
        <v>6.0762943541469383E-2</v>
      </c>
      <c r="J29" s="21">
        <v>0.14710000000000001</v>
      </c>
      <c r="K29" s="19">
        <v>0.13980000000000001</v>
      </c>
      <c r="L29" s="21">
        <f t="shared" si="4"/>
        <v>-7.3000000000000009E-3</v>
      </c>
      <c r="M29" s="21">
        <f t="shared" si="1"/>
        <v>0.11416002785116183</v>
      </c>
      <c r="N29" s="19">
        <v>5.7299999999999997E-2</v>
      </c>
      <c r="O29" s="19"/>
      <c r="P29" s="19">
        <f t="shared" si="5"/>
        <v>5.7299999999999997E-2</v>
      </c>
      <c r="Q29" s="19"/>
      <c r="R29" s="35">
        <f t="shared" si="6"/>
        <v>0.40987124463519309</v>
      </c>
    </row>
    <row r="30" spans="1:18" s="11" customFormat="1" ht="12.75">
      <c r="A30" s="18">
        <v>1982</v>
      </c>
      <c r="B30" s="19">
        <v>9.8299999999999998E-2</v>
      </c>
      <c r="C30" s="19">
        <v>4.9299999999999997E-2</v>
      </c>
      <c r="D30" s="18">
        <v>140.63999999999999</v>
      </c>
      <c r="E30" s="20">
        <v>13.824911999999999</v>
      </c>
      <c r="F30" s="20">
        <f t="shared" si="0"/>
        <v>6.9335519999999988</v>
      </c>
      <c r="G30" s="20"/>
      <c r="H30" s="21">
        <f t="shared" si="2"/>
        <v>-8.9504605028535078E-2</v>
      </c>
      <c r="I30" s="21">
        <f t="shared" si="3"/>
        <v>1.5751017977493342E-2</v>
      </c>
      <c r="J30" s="21">
        <v>0.10539999999999999</v>
      </c>
      <c r="K30" s="19">
        <v>0.1047</v>
      </c>
      <c r="L30" s="21">
        <f t="shared" si="4"/>
        <v>-6.999999999999923E-4</v>
      </c>
      <c r="M30" s="21">
        <f t="shared" si="1"/>
        <v>7.9643095209819575E-2</v>
      </c>
      <c r="N30" s="19">
        <v>4.9000000000000002E-2</v>
      </c>
      <c r="O30" s="19"/>
      <c r="P30" s="19">
        <f t="shared" si="5"/>
        <v>4.9000000000000002E-2</v>
      </c>
      <c r="Q30" s="19"/>
      <c r="R30" s="35">
        <f t="shared" si="6"/>
        <v>0.46800382043935052</v>
      </c>
    </row>
    <row r="31" spans="1:18" s="11" customFormat="1" ht="12.75">
      <c r="A31" s="18">
        <v>1983</v>
      </c>
      <c r="B31" s="19">
        <v>8.0600000000000005E-2</v>
      </c>
      <c r="C31" s="19">
        <v>4.3200000000000002E-2</v>
      </c>
      <c r="D31" s="18">
        <v>164.93</v>
      </c>
      <c r="E31" s="20">
        <v>13.293358</v>
      </c>
      <c r="F31" s="20">
        <f t="shared" si="0"/>
        <v>7.1249760000000011</v>
      </c>
      <c r="G31" s="20"/>
      <c r="H31" s="21">
        <f t="shared" si="2"/>
        <v>-3.8448996999040586E-2</v>
      </c>
      <c r="I31" s="21">
        <f t="shared" si="3"/>
        <v>2.7608360044029778E-2</v>
      </c>
      <c r="J31" s="21">
        <v>8.7999999999999995E-2</v>
      </c>
      <c r="K31" s="19">
        <v>0.11799999999999999</v>
      </c>
      <c r="L31" s="21">
        <f t="shared" si="4"/>
        <v>0.03</v>
      </c>
      <c r="M31" s="21">
        <f t="shared" si="1"/>
        <v>9.0930905115454375E-2</v>
      </c>
      <c r="N31" s="19">
        <v>4.3099999999999999E-2</v>
      </c>
      <c r="O31" s="19"/>
      <c r="P31" s="19">
        <f t="shared" si="5"/>
        <v>4.3099999999999999E-2</v>
      </c>
      <c r="Q31" s="19"/>
      <c r="R31" s="35">
        <f t="shared" si="6"/>
        <v>0.36525423728813561</v>
      </c>
    </row>
    <row r="32" spans="1:18" s="11" customFormat="1" ht="12.75">
      <c r="A32" s="18">
        <v>1984</v>
      </c>
      <c r="B32" s="19">
        <v>0.1007</v>
      </c>
      <c r="C32" s="19">
        <v>4.6800000000000001E-2</v>
      </c>
      <c r="D32" s="18">
        <v>167.24</v>
      </c>
      <c r="E32" s="20">
        <v>16.841068</v>
      </c>
      <c r="F32" s="20">
        <f t="shared" si="0"/>
        <v>7.8268320000000005</v>
      </c>
      <c r="G32" s="20"/>
      <c r="H32" s="21">
        <f t="shared" si="2"/>
        <v>0.26687839144932379</v>
      </c>
      <c r="I32" s="21">
        <f t="shared" si="3"/>
        <v>9.8506437074314279E-2</v>
      </c>
      <c r="J32" s="21">
        <v>9.8500000000000004E-2</v>
      </c>
      <c r="K32" s="19">
        <v>0.11509999999999999</v>
      </c>
      <c r="L32" s="21">
        <f t="shared" si="4"/>
        <v>1.659999999999999E-2</v>
      </c>
      <c r="M32" s="21">
        <f t="shared" si="1"/>
        <v>0.11019207694100672</v>
      </c>
      <c r="N32" s="19">
        <v>5.11E-2</v>
      </c>
      <c r="O32" s="19"/>
      <c r="P32" s="19">
        <f t="shared" si="5"/>
        <v>5.11E-2</v>
      </c>
      <c r="Q32" s="19"/>
      <c r="R32" s="35">
        <f t="shared" si="6"/>
        <v>0.44396177237185058</v>
      </c>
    </row>
    <row r="33" spans="1:18" s="11" customFormat="1" ht="12.75">
      <c r="A33" s="18">
        <v>1985</v>
      </c>
      <c r="B33" s="19">
        <v>7.4200000000000002E-2</v>
      </c>
      <c r="C33" s="19">
        <v>3.8800000000000001E-2</v>
      </c>
      <c r="D33" s="18">
        <v>211.28</v>
      </c>
      <c r="E33" s="20">
        <v>15.676976</v>
      </c>
      <c r="F33" s="20">
        <f t="shared" si="0"/>
        <v>8.1976639999999996</v>
      </c>
      <c r="G33" s="20"/>
      <c r="H33" s="21">
        <f t="shared" si="2"/>
        <v>-6.912221956469744E-2</v>
      </c>
      <c r="I33" s="21">
        <f t="shared" si="3"/>
        <v>4.7379578353029528E-2</v>
      </c>
      <c r="J33" s="21">
        <v>7.7200000000000005E-2</v>
      </c>
      <c r="K33" s="19">
        <v>8.9899999999999994E-2</v>
      </c>
      <c r="L33" s="21">
        <f t="shared" si="4"/>
        <v>1.2699999999999989E-2</v>
      </c>
      <c r="M33" s="21">
        <f t="shared" si="1"/>
        <v>7.8881544695646677E-2</v>
      </c>
      <c r="N33" s="19">
        <v>4.0300000000000002E-2</v>
      </c>
      <c r="O33" s="19">
        <v>6.7500000000000004E-2</v>
      </c>
      <c r="P33" s="19">
        <v>3.8399999999999997E-2</v>
      </c>
      <c r="Q33" s="19"/>
      <c r="R33" s="35">
        <f t="shared" si="6"/>
        <v>0.42714126807563957</v>
      </c>
    </row>
    <row r="34" spans="1:18" s="11" customFormat="1" ht="12.75">
      <c r="A34" s="18">
        <v>1986</v>
      </c>
      <c r="B34" s="19">
        <v>5.96E-2</v>
      </c>
      <c r="C34" s="19">
        <v>3.3799999999999997E-2</v>
      </c>
      <c r="D34" s="18">
        <v>242.17</v>
      </c>
      <c r="E34" s="20">
        <v>14.433332</v>
      </c>
      <c r="F34" s="20">
        <f t="shared" si="0"/>
        <v>8.1853459999999991</v>
      </c>
      <c r="G34" s="20"/>
      <c r="H34" s="21">
        <f t="shared" si="2"/>
        <v>-7.9329329840142626E-2</v>
      </c>
      <c r="I34" s="21">
        <f t="shared" si="3"/>
        <v>-1.5026231863126682E-3</v>
      </c>
      <c r="J34" s="21">
        <v>6.1600000000000002E-2</v>
      </c>
      <c r="K34" s="19">
        <v>7.22E-2</v>
      </c>
      <c r="L34" s="21">
        <f t="shared" si="4"/>
        <v>1.0599999999999998E-2</v>
      </c>
      <c r="M34" s="21">
        <f t="shared" si="1"/>
        <v>5.5441441956080952E-2</v>
      </c>
      <c r="N34" s="19">
        <v>3.3599999999999998E-2</v>
      </c>
      <c r="O34" s="19">
        <v>6.9599999999999995E-2</v>
      </c>
      <c r="P34" s="19">
        <v>3.5799999999999998E-2</v>
      </c>
      <c r="Q34" s="19"/>
      <c r="R34" s="35">
        <f t="shared" si="6"/>
        <v>0.49584487534626037</v>
      </c>
    </row>
    <row r="35" spans="1:18" s="11" customFormat="1" ht="12.75">
      <c r="A35" s="18">
        <v>1987</v>
      </c>
      <c r="B35" s="19">
        <v>6.4899999999999999E-2</v>
      </c>
      <c r="C35" s="19">
        <v>3.7100000000000001E-2</v>
      </c>
      <c r="D35" s="18">
        <v>247.08</v>
      </c>
      <c r="E35" s="20">
        <v>16.035492000000001</v>
      </c>
      <c r="F35" s="20">
        <f t="shared" si="0"/>
        <v>9.1666680000000014</v>
      </c>
      <c r="G35" s="20"/>
      <c r="H35" s="21">
        <f t="shared" si="2"/>
        <v>0.11100416729830664</v>
      </c>
      <c r="I35" s="21">
        <f t="shared" si="3"/>
        <v>0.11988766265958728</v>
      </c>
      <c r="J35" s="21">
        <v>5.4699999999999999E-2</v>
      </c>
      <c r="K35" s="19">
        <v>8.8599999999999998E-2</v>
      </c>
      <c r="L35" s="21">
        <f t="shared" si="4"/>
        <v>3.39E-2</v>
      </c>
      <c r="M35" s="21">
        <f t="shared" si="1"/>
        <v>9.6640645880152087E-2</v>
      </c>
      <c r="N35" s="19">
        <v>4.1799999999999997E-2</v>
      </c>
      <c r="O35" s="19">
        <v>8.5800000000000001E-2</v>
      </c>
      <c r="P35" s="19">
        <v>3.9899999999999998E-2</v>
      </c>
      <c r="Q35" s="19"/>
      <c r="R35" s="35">
        <f t="shared" si="6"/>
        <v>0.45033860045146723</v>
      </c>
    </row>
    <row r="36" spans="1:18" s="11" customFormat="1" ht="12.75">
      <c r="A36" s="18">
        <v>1988</v>
      </c>
      <c r="B36" s="19">
        <v>8.2000000000000003E-2</v>
      </c>
      <c r="C36" s="19">
        <v>3.6799999999999999E-2</v>
      </c>
      <c r="D36" s="18">
        <v>277.72000000000003</v>
      </c>
      <c r="E36" s="20">
        <v>24.12</v>
      </c>
      <c r="F36" s="20">
        <f t="shared" si="0"/>
        <v>10.220096000000002</v>
      </c>
      <c r="G36" s="20"/>
      <c r="H36" s="21">
        <f t="shared" si="2"/>
        <v>0.50416338956110596</v>
      </c>
      <c r="I36" s="21">
        <f t="shared" si="3"/>
        <v>0.11491940146626889</v>
      </c>
      <c r="J36" s="21">
        <v>6.3500000000000001E-2</v>
      </c>
      <c r="K36" s="19">
        <v>9.1399999999999995E-2</v>
      </c>
      <c r="L36" s="21">
        <f t="shared" si="4"/>
        <v>2.7899999999999994E-2</v>
      </c>
      <c r="M36" s="21">
        <f t="shared" si="1"/>
        <v>9.7551994810036763E-2</v>
      </c>
      <c r="N36" s="19">
        <v>4.1200000000000001E-2</v>
      </c>
      <c r="O36" s="19">
        <v>7.6700000000000004E-2</v>
      </c>
      <c r="P36" s="19">
        <v>3.7699999999999997E-2</v>
      </c>
      <c r="Q36" s="19"/>
      <c r="R36" s="35">
        <f t="shared" si="6"/>
        <v>0.41247264770240699</v>
      </c>
    </row>
    <row r="37" spans="1:18" s="11" customFormat="1" ht="12.75">
      <c r="A37" s="18">
        <v>1989</v>
      </c>
      <c r="B37" s="19">
        <v>6.8000000000000005E-2</v>
      </c>
      <c r="C37" s="19">
        <v>3.32E-2</v>
      </c>
      <c r="D37" s="18">
        <v>353.4</v>
      </c>
      <c r="E37" s="20">
        <v>24.32</v>
      </c>
      <c r="F37" s="20">
        <f t="shared" si="0"/>
        <v>11.73288</v>
      </c>
      <c r="G37" s="20"/>
      <c r="H37" s="21">
        <f t="shared" si="2"/>
        <v>8.2918739635158278E-3</v>
      </c>
      <c r="I37" s="21">
        <f t="shared" si="3"/>
        <v>0.14802052740013383</v>
      </c>
      <c r="J37" s="21">
        <v>8.3699999999999997E-2</v>
      </c>
      <c r="K37" s="19">
        <v>7.9299999999999995E-2</v>
      </c>
      <c r="L37" s="21">
        <f t="shared" si="4"/>
        <v>-4.4000000000000011E-3</v>
      </c>
      <c r="M37" s="21">
        <f t="shared" si="1"/>
        <v>9.5849128462506025E-2</v>
      </c>
      <c r="N37" s="19">
        <v>3.85E-2</v>
      </c>
      <c r="O37" s="19">
        <v>7.46E-2</v>
      </c>
      <c r="P37" s="19">
        <v>3.5099999999999999E-2</v>
      </c>
      <c r="Q37" s="19"/>
      <c r="R37" s="35">
        <f t="shared" si="6"/>
        <v>0.44262295081967212</v>
      </c>
    </row>
    <row r="38" spans="1:18" s="11" customFormat="1" ht="12.75">
      <c r="A38" s="18">
        <v>1990</v>
      </c>
      <c r="B38" s="19">
        <v>6.5799999999999997E-2</v>
      </c>
      <c r="C38" s="19">
        <v>3.7400000000000003E-2</v>
      </c>
      <c r="D38" s="18">
        <v>330.22</v>
      </c>
      <c r="E38" s="20">
        <v>22.65</v>
      </c>
      <c r="F38" s="20">
        <f t="shared" si="0"/>
        <v>12.350228000000001</v>
      </c>
      <c r="G38" s="20"/>
      <c r="H38" s="21">
        <f t="shared" si="2"/>
        <v>-6.8667763157894801E-2</v>
      </c>
      <c r="I38" s="21">
        <f t="shared" si="3"/>
        <v>5.2616919290063624E-2</v>
      </c>
      <c r="J38" s="21">
        <v>7.8100000000000003E-2</v>
      </c>
      <c r="K38" s="19">
        <v>8.0699999999999994E-2</v>
      </c>
      <c r="L38" s="21">
        <f t="shared" si="4"/>
        <v>2.5999999999999912E-3</v>
      </c>
      <c r="M38" s="21">
        <f t="shared" si="1"/>
        <v>7.3865932452169283E-2</v>
      </c>
      <c r="N38" s="19">
        <v>3.9199999999999999E-2</v>
      </c>
      <c r="O38" s="19">
        <v>7.1900000000000006E-2</v>
      </c>
      <c r="P38" s="19">
        <v>3.8899999999999997E-2</v>
      </c>
      <c r="Q38" s="19"/>
      <c r="R38" s="35">
        <f t="shared" si="6"/>
        <v>0.48203221809169766</v>
      </c>
    </row>
    <row r="39" spans="1:18" s="11" customFormat="1" ht="12.75">
      <c r="A39" s="18">
        <v>1991</v>
      </c>
      <c r="B39" s="19">
        <v>4.58E-2</v>
      </c>
      <c r="C39" s="19">
        <v>3.1099999999999999E-2</v>
      </c>
      <c r="D39" s="18">
        <v>417.09</v>
      </c>
      <c r="E39" s="20">
        <v>19.3</v>
      </c>
      <c r="F39" s="20">
        <f t="shared" si="0"/>
        <v>12.971499</v>
      </c>
      <c r="G39" s="20"/>
      <c r="H39" s="21">
        <f t="shared" si="2"/>
        <v>-0.14790286975717426</v>
      </c>
      <c r="I39" s="21">
        <f t="shared" si="3"/>
        <v>5.0304415432654181E-2</v>
      </c>
      <c r="J39" s="21">
        <v>7.0000000000000007E-2</v>
      </c>
      <c r="K39" s="19">
        <v>6.7000000000000004E-2</v>
      </c>
      <c r="L39" s="21">
        <f t="shared" si="4"/>
        <v>-3.0000000000000027E-3</v>
      </c>
      <c r="M39" s="21">
        <f t="shared" si="1"/>
        <v>6.3379158329041924E-2</v>
      </c>
      <c r="N39" s="19">
        <v>3.27E-2</v>
      </c>
      <c r="O39" s="19">
        <v>7.8100000000000003E-2</v>
      </c>
      <c r="P39" s="19">
        <v>3.4799999999999998E-2</v>
      </c>
      <c r="Q39" s="19"/>
      <c r="R39" s="35">
        <f t="shared" si="6"/>
        <v>0.51940298507462679</v>
      </c>
    </row>
    <row r="40" spans="1:18" s="11" customFormat="1" ht="12.75">
      <c r="A40" s="18">
        <v>1992</v>
      </c>
      <c r="B40" s="19">
        <v>4.1599999999999998E-2</v>
      </c>
      <c r="C40" s="19">
        <v>2.9000000000000001E-2</v>
      </c>
      <c r="D40" s="18">
        <v>435.71</v>
      </c>
      <c r="E40" s="20">
        <v>20.87</v>
      </c>
      <c r="F40" s="20">
        <f t="shared" si="0"/>
        <v>12.635590000000001</v>
      </c>
      <c r="G40" s="20"/>
      <c r="H40" s="21">
        <f t="shared" si="2"/>
        <v>8.1347150259067469E-2</v>
      </c>
      <c r="I40" s="21">
        <f t="shared" si="3"/>
        <v>-2.5895927679599695E-2</v>
      </c>
      <c r="J40" s="21">
        <v>5.2999999999999999E-2</v>
      </c>
      <c r="K40" s="19">
        <v>6.6799999999999998E-2</v>
      </c>
      <c r="L40" s="21">
        <f t="shared" si="4"/>
        <v>1.38E-2</v>
      </c>
      <c r="M40" s="21">
        <f t="shared" si="1"/>
        <v>4.6735210818317934E-2</v>
      </c>
      <c r="N40" s="19">
        <v>2.8299999999999999E-2</v>
      </c>
      <c r="O40" s="19">
        <v>9.8299999999999998E-2</v>
      </c>
      <c r="P40" s="19">
        <v>3.5499999999999997E-2</v>
      </c>
      <c r="Q40" s="19"/>
      <c r="R40" s="35">
        <f t="shared" si="6"/>
        <v>0.53143712574850299</v>
      </c>
    </row>
    <row r="41" spans="1:18" s="11" customFormat="1" ht="12.75">
      <c r="A41" s="18">
        <v>1993</v>
      </c>
      <c r="B41" s="19">
        <v>4.2500000000000003E-2</v>
      </c>
      <c r="C41" s="19">
        <v>2.7199999999999998E-2</v>
      </c>
      <c r="D41" s="18">
        <v>466.45</v>
      </c>
      <c r="E41" s="20">
        <v>26.9</v>
      </c>
      <c r="F41" s="20">
        <f t="shared" si="0"/>
        <v>12.687439999999999</v>
      </c>
      <c r="G41" s="20"/>
      <c r="H41" s="21">
        <f t="shared" ref="H41:H58" si="7">E41/E40-1</f>
        <v>0.28893148059415408</v>
      </c>
      <c r="I41" s="21">
        <f t="shared" ref="I41:I58" si="8">F41/F40-1</f>
        <v>4.1034886380453273E-3</v>
      </c>
      <c r="J41" s="21">
        <v>3.5000000000000003E-2</v>
      </c>
      <c r="K41" s="19">
        <v>5.79E-2</v>
      </c>
      <c r="L41" s="21">
        <f t="shared" si="4"/>
        <v>2.2899999999999997E-2</v>
      </c>
      <c r="M41" s="21">
        <f t="shared" si="1"/>
        <v>4.7303282961314377E-2</v>
      </c>
      <c r="N41" s="19">
        <v>2.7400000000000001E-2</v>
      </c>
      <c r="O41" s="19">
        <v>0.08</v>
      </c>
      <c r="P41" s="19">
        <v>3.1699999999999999E-2</v>
      </c>
      <c r="Q41" s="19"/>
      <c r="R41" s="35">
        <f t="shared" si="6"/>
        <v>0.5474956822107081</v>
      </c>
    </row>
    <row r="42" spans="1:18" s="11" customFormat="1" ht="12.75">
      <c r="A42" s="18">
        <v>1994</v>
      </c>
      <c r="B42" s="19">
        <v>5.8900000000000001E-2</v>
      </c>
      <c r="C42" s="19">
        <v>2.9100000000000001E-2</v>
      </c>
      <c r="D42" s="18">
        <v>459.27</v>
      </c>
      <c r="E42" s="20">
        <v>31.75</v>
      </c>
      <c r="F42" s="20">
        <f t="shared" ref="F42:F49" si="9">C42*D42</f>
        <v>13.364756999999999</v>
      </c>
      <c r="G42" s="20"/>
      <c r="H42" s="21">
        <f t="shared" si="7"/>
        <v>0.18029739776951681</v>
      </c>
      <c r="I42" s="21">
        <f t="shared" si="8"/>
        <v>5.3384843593349052E-2</v>
      </c>
      <c r="J42" s="21">
        <v>0.05</v>
      </c>
      <c r="K42" s="19">
        <v>7.8200000000000006E-2</v>
      </c>
      <c r="L42" s="21">
        <f t="shared" si="4"/>
        <v>2.8200000000000003E-2</v>
      </c>
      <c r="M42" s="21">
        <f t="shared" si="1"/>
        <v>7.2274117335399235E-2</v>
      </c>
      <c r="N42" s="19">
        <v>3.0599999999999999E-2</v>
      </c>
      <c r="O42" s="19">
        <v>7.17E-2</v>
      </c>
      <c r="P42" s="19">
        <v>3.5499999999999997E-2</v>
      </c>
      <c r="Q42" s="19"/>
      <c r="R42" s="35">
        <f t="shared" si="6"/>
        <v>0.45396419437340146</v>
      </c>
    </row>
    <row r="43" spans="1:18" s="11" customFormat="1" ht="12.75">
      <c r="A43" s="18">
        <v>1995</v>
      </c>
      <c r="B43" s="19">
        <v>5.74E-2</v>
      </c>
      <c r="C43" s="19">
        <v>2.3E-2</v>
      </c>
      <c r="D43" s="18">
        <v>615.92999999999995</v>
      </c>
      <c r="E43" s="20">
        <v>37.700000000000003</v>
      </c>
      <c r="F43" s="20">
        <f t="shared" si="9"/>
        <v>14.166389999999998</v>
      </c>
      <c r="G43" s="20"/>
      <c r="H43" s="21">
        <f t="shared" si="7"/>
        <v>0.18740157480314967</v>
      </c>
      <c r="I43" s="21">
        <f t="shared" si="8"/>
        <v>5.9981113012380183E-2</v>
      </c>
      <c r="J43" s="21">
        <v>3.5000000000000003E-2</v>
      </c>
      <c r="K43" s="19">
        <v>5.57E-2</v>
      </c>
      <c r="L43" s="21">
        <f t="shared" si="4"/>
        <v>2.0699999999999996E-2</v>
      </c>
      <c r="M43" s="21">
        <f t="shared" si="1"/>
        <v>5.6521345269882617E-2</v>
      </c>
      <c r="N43" s="19">
        <v>2.4400000000000002E-2</v>
      </c>
      <c r="O43" s="19">
        <v>6.5000000000000002E-2</v>
      </c>
      <c r="P43" s="19">
        <v>3.2899999999999999E-2</v>
      </c>
      <c r="Q43" s="19"/>
      <c r="R43" s="35">
        <f t="shared" si="6"/>
        <v>0.59066427289048473</v>
      </c>
    </row>
    <row r="44" spans="1:18" s="11" customFormat="1" ht="12.75">
      <c r="A44" s="18">
        <v>1996</v>
      </c>
      <c r="B44" s="19">
        <v>4.8300000000000003E-2</v>
      </c>
      <c r="C44" s="19">
        <v>2.01E-2</v>
      </c>
      <c r="D44" s="18">
        <v>740.74</v>
      </c>
      <c r="E44" s="20">
        <v>40.630000000000003</v>
      </c>
      <c r="F44" s="20">
        <f t="shared" si="9"/>
        <v>14.888873999999999</v>
      </c>
      <c r="G44" s="20"/>
      <c r="H44" s="21">
        <f t="shared" si="7"/>
        <v>7.7718832891246592E-2</v>
      </c>
      <c r="I44" s="21">
        <f t="shared" si="8"/>
        <v>5.0999866585629938E-2</v>
      </c>
      <c r="J44" s="21">
        <v>0.05</v>
      </c>
      <c r="K44" s="19">
        <v>6.4100000000000004E-2</v>
      </c>
      <c r="L44" s="21">
        <f t="shared" si="4"/>
        <v>1.4100000000000001E-2</v>
      </c>
      <c r="M44" s="21">
        <f t="shared" ref="M44:M50" si="10">K44*(1/K44)/(((1-(1+K44)^(-5))/K44)+1/K44)+I44*((1-(1+K44)^(-5))/K44)/(((1-(1+K44)^(-5))/K44)+1/K44)</f>
        <v>6.1339133266445661E-2</v>
      </c>
      <c r="N44" s="19">
        <v>2.1100000000000001E-2</v>
      </c>
      <c r="O44" s="19">
        <v>7.9200000000000007E-2</v>
      </c>
      <c r="P44" s="19">
        <v>3.2000000000000001E-2</v>
      </c>
      <c r="Q44" s="19"/>
      <c r="R44" s="35">
        <f t="shared" si="6"/>
        <v>0.49921996879875191</v>
      </c>
    </row>
    <row r="45" spans="1:18" s="6" customFormat="1" ht="12.75">
      <c r="A45" s="18">
        <v>1997</v>
      </c>
      <c r="B45" s="21">
        <f>1/24.53</f>
        <v>4.0766408479412965E-2</v>
      </c>
      <c r="C45" s="19">
        <f>15.522/D45</f>
        <v>1.5994971301381864E-2</v>
      </c>
      <c r="D45" s="18">
        <v>970.43</v>
      </c>
      <c r="E45" s="20">
        <v>44.09</v>
      </c>
      <c r="F45" s="20">
        <f t="shared" si="9"/>
        <v>15.522000000000002</v>
      </c>
      <c r="G45" s="20"/>
      <c r="H45" s="21">
        <f t="shared" si="7"/>
        <v>8.5158749692345603E-2</v>
      </c>
      <c r="I45" s="21">
        <f t="shared" si="8"/>
        <v>4.2523430583132349E-2</v>
      </c>
      <c r="J45" s="21">
        <v>5.3499999999999999E-2</v>
      </c>
      <c r="K45" s="19">
        <v>5.74E-2</v>
      </c>
      <c r="L45" s="21">
        <f t="shared" si="4"/>
        <v>3.9000000000000007E-3</v>
      </c>
      <c r="M45" s="21">
        <f t="shared" si="10"/>
        <v>5.4486804591903609E-2</v>
      </c>
      <c r="N45" s="19">
        <v>1.67E-2</v>
      </c>
      <c r="O45" s="19">
        <v>0.08</v>
      </c>
      <c r="P45" s="19">
        <v>2.7300000000000001E-2</v>
      </c>
      <c r="Q45" s="19"/>
      <c r="R45" s="35">
        <f t="shared" si="6"/>
        <v>0.47560975609756101</v>
      </c>
    </row>
    <row r="46" spans="1:18" s="6" customFormat="1" ht="12.75">
      <c r="A46" s="18">
        <v>1998</v>
      </c>
      <c r="B46" s="21">
        <f>1/32.15</f>
        <v>3.110419906687403E-2</v>
      </c>
      <c r="C46" s="21">
        <f>16.2/D46</f>
        <v>1.3178981964319126E-2</v>
      </c>
      <c r="D46" s="18">
        <v>1229.23</v>
      </c>
      <c r="E46" s="20">
        <v>44.27</v>
      </c>
      <c r="F46" s="20">
        <f t="shared" si="9"/>
        <v>16.2</v>
      </c>
      <c r="G46" s="20"/>
      <c r="H46" s="21">
        <f t="shared" si="7"/>
        <v>4.0825584032659901E-3</v>
      </c>
      <c r="I46" s="21">
        <f t="shared" si="8"/>
        <v>4.3679938152299869E-2</v>
      </c>
      <c r="J46" s="19">
        <v>4.3299999999999998E-2</v>
      </c>
      <c r="K46" s="19">
        <v>4.65E-2</v>
      </c>
      <c r="L46" s="21">
        <f t="shared" si="4"/>
        <v>3.2000000000000015E-3</v>
      </c>
      <c r="M46" s="21">
        <f t="shared" si="10"/>
        <v>4.6023577000283353E-2</v>
      </c>
      <c r="N46" s="19">
        <v>1.38E-2</v>
      </c>
      <c r="O46" s="19">
        <v>7.1999999999999995E-2</v>
      </c>
      <c r="P46" s="19">
        <v>2.2599999999999999E-2</v>
      </c>
      <c r="Q46" s="19"/>
      <c r="R46" s="35">
        <f t="shared" si="6"/>
        <v>0.48602150537634403</v>
      </c>
    </row>
    <row r="47" spans="1:18" s="6" customFormat="1" ht="12.75">
      <c r="A47" s="18">
        <v>1999</v>
      </c>
      <c r="B47" s="19">
        <f>1/32.53</f>
        <v>3.0740854595757761E-2</v>
      </c>
      <c r="C47" s="19">
        <f>16.709/1469</f>
        <v>1.1374404356705241E-2</v>
      </c>
      <c r="D47" s="18">
        <v>1469.25</v>
      </c>
      <c r="E47" s="20">
        <v>51.68</v>
      </c>
      <c r="F47" s="20">
        <f t="shared" si="9"/>
        <v>16.711843601089175</v>
      </c>
      <c r="G47" s="20"/>
      <c r="H47" s="21">
        <f t="shared" si="7"/>
        <v>0.16738197424892687</v>
      </c>
      <c r="I47" s="21">
        <f t="shared" si="8"/>
        <v>3.1595284017850389E-2</v>
      </c>
      <c r="J47" s="19">
        <v>5.3699999999999998E-2</v>
      </c>
      <c r="K47" s="19">
        <v>6.4399999999999999E-2</v>
      </c>
      <c r="L47" s="21">
        <f t="shared" si="4"/>
        <v>1.0700000000000001E-2</v>
      </c>
      <c r="M47" s="21">
        <f t="shared" si="10"/>
        <v>5.7465293495909828E-2</v>
      </c>
      <c r="N47" s="19">
        <v>1.2E-2</v>
      </c>
      <c r="O47" s="19">
        <v>0.125</v>
      </c>
      <c r="P47" s="19">
        <v>2.0500000000000001E-2</v>
      </c>
      <c r="Q47" s="19"/>
      <c r="R47" s="35">
        <f t="shared" si="6"/>
        <v>0.31832298136645965</v>
      </c>
    </row>
    <row r="48" spans="1:18" s="6" customFormat="1" ht="12.75">
      <c r="A48" s="18">
        <v>2000</v>
      </c>
      <c r="B48" s="19">
        <f>1/25.39</f>
        <v>3.9385584875935409E-2</v>
      </c>
      <c r="C48" s="19">
        <f>16.265/1320</f>
        <v>1.2321969696969698E-2</v>
      </c>
      <c r="D48" s="18">
        <v>1320.28</v>
      </c>
      <c r="E48" s="20">
        <v>56.13</v>
      </c>
      <c r="F48" s="20">
        <f t="shared" si="9"/>
        <v>16.26845015151515</v>
      </c>
      <c r="G48" s="20"/>
      <c r="H48" s="21">
        <f t="shared" si="7"/>
        <v>8.6106811145510997E-2</v>
      </c>
      <c r="I48" s="21">
        <f t="shared" si="8"/>
        <v>-2.6531689749964338E-2</v>
      </c>
      <c r="J48" s="19">
        <v>5.7299999999999997E-2</v>
      </c>
      <c r="K48" s="19">
        <v>5.11E-2</v>
      </c>
      <c r="L48" s="21">
        <f t="shared" si="4"/>
        <v>-6.1999999999999972E-3</v>
      </c>
      <c r="M48" s="21">
        <f t="shared" si="10"/>
        <v>3.7071379449864141E-2</v>
      </c>
      <c r="N48" s="19">
        <v>1.6500000000000001E-2</v>
      </c>
      <c r="O48" s="19">
        <v>0.12</v>
      </c>
      <c r="P48" s="19">
        <v>2.87E-2</v>
      </c>
      <c r="Q48" s="19"/>
      <c r="R48" s="35">
        <f t="shared" si="6"/>
        <v>0.56164383561643838</v>
      </c>
    </row>
    <row r="49" spans="1:18" s="6" customFormat="1" ht="12.75">
      <c r="A49" s="22">
        <v>2001</v>
      </c>
      <c r="B49" s="19">
        <f>44.23/1148.09</f>
        <v>3.8524854323267341E-2</v>
      </c>
      <c r="C49" s="19">
        <f>15.741/1148.09</f>
        <v>1.3710597601233353E-2</v>
      </c>
      <c r="D49" s="22">
        <v>1148.0899999999999</v>
      </c>
      <c r="E49" s="20">
        <v>38.85</v>
      </c>
      <c r="F49" s="23">
        <f t="shared" si="9"/>
        <v>15.741</v>
      </c>
      <c r="G49" s="28">
        <v>30.079957999999998</v>
      </c>
      <c r="H49" s="21">
        <f t="shared" si="7"/>
        <v>-0.307856761090326</v>
      </c>
      <c r="I49" s="21">
        <f t="shared" si="8"/>
        <v>-3.2421659506761791E-2</v>
      </c>
      <c r="J49" s="19">
        <v>1.7999999999999999E-2</v>
      </c>
      <c r="K49" s="19">
        <v>5.0500000000000003E-2</v>
      </c>
      <c r="L49" s="24">
        <f t="shared" si="4"/>
        <v>3.2500000000000001E-2</v>
      </c>
      <c r="M49" s="21">
        <f t="shared" si="10"/>
        <v>3.5639705492873132E-2</v>
      </c>
      <c r="N49" s="19">
        <v>1.7299999999999999E-2</v>
      </c>
      <c r="O49" s="19">
        <v>0.10299999999999999</v>
      </c>
      <c r="P49" s="19">
        <v>3.6200000000000003E-2</v>
      </c>
      <c r="Q49" s="19">
        <v>2.9100000000000001E-2</v>
      </c>
      <c r="R49" s="35">
        <f t="shared" si="6"/>
        <v>0.7168316831683168</v>
      </c>
    </row>
    <row r="50" spans="1:18" s="9" customFormat="1" ht="12.75">
      <c r="A50" s="22">
        <v>2002</v>
      </c>
      <c r="B50" s="19">
        <f>E50/D50</f>
        <v>5.232888545384283E-2</v>
      </c>
      <c r="C50" s="19">
        <f>F50/D50</f>
        <v>1.8276465640699232E-2</v>
      </c>
      <c r="D50" s="22">
        <v>879.82</v>
      </c>
      <c r="E50" s="18">
        <v>46.04</v>
      </c>
      <c r="F50" s="18">
        <v>16.079999999999998</v>
      </c>
      <c r="G50" s="28">
        <v>29.825898000000002</v>
      </c>
      <c r="H50" s="21">
        <f t="shared" si="7"/>
        <v>0.18507078507078512</v>
      </c>
      <c r="I50" s="21">
        <f t="shared" si="8"/>
        <v>2.1536115875738338E-2</v>
      </c>
      <c r="J50" s="19">
        <v>1.2E-2</v>
      </c>
      <c r="K50" s="19">
        <v>3.8100000000000002E-2</v>
      </c>
      <c r="L50" s="24">
        <f t="shared" si="4"/>
        <v>2.6100000000000002E-2</v>
      </c>
      <c r="M50" s="21">
        <f t="shared" si="10"/>
        <v>3.5686949239855444E-2</v>
      </c>
      <c r="N50" s="19">
        <v>2.29E-2</v>
      </c>
      <c r="O50" s="19">
        <v>0.08</v>
      </c>
      <c r="P50" s="19">
        <v>4.1000000000000002E-2</v>
      </c>
      <c r="Q50" s="19">
        <v>4.7300000000000002E-2</v>
      </c>
      <c r="R50" s="35">
        <f t="shared" si="6"/>
        <v>1.0761154855643045</v>
      </c>
    </row>
    <row r="51" spans="1:18" s="6" customFormat="1" ht="12.75">
      <c r="A51" s="22">
        <v>2003</v>
      </c>
      <c r="B51" s="19">
        <v>4.87E-2</v>
      </c>
      <c r="C51" s="19">
        <v>1.61E-2</v>
      </c>
      <c r="D51" s="18">
        <v>1111.9100000000001</v>
      </c>
      <c r="E51" s="18">
        <v>54.69</v>
      </c>
      <c r="F51" s="18">
        <v>17.88</v>
      </c>
      <c r="G51" s="28">
        <v>31.578244000000005</v>
      </c>
      <c r="H51" s="21">
        <f t="shared" si="7"/>
        <v>0.18788010425716761</v>
      </c>
      <c r="I51" s="21">
        <f t="shared" si="8"/>
        <v>0.11194029850746268</v>
      </c>
      <c r="J51" s="19">
        <v>0.01</v>
      </c>
      <c r="K51" s="19">
        <v>4.2500000000000003E-2</v>
      </c>
      <c r="L51" s="24">
        <f t="shared" ref="L51:L57" si="11">K51-J51</f>
        <v>3.2500000000000001E-2</v>
      </c>
      <c r="M51" s="21">
        <f t="shared" ref="M51:M63" si="12">K51*(1/K51)/(((1-(1+K51)^(-5))/K51)+1/K51)+I51*((1-(1+K51)^(-5))/K51)/(((1-(1+K51)^(-5))/K51)+1/K51)</f>
        <v>5.3483012243199082E-2</v>
      </c>
      <c r="N51" s="19">
        <v>2.12E-2</v>
      </c>
      <c r="O51" s="19">
        <v>0.11</v>
      </c>
      <c r="P51" s="19">
        <v>3.6900000000000002E-2</v>
      </c>
      <c r="Q51" s="19">
        <v>4.7399999999999998E-2</v>
      </c>
      <c r="R51" s="35">
        <f t="shared" si="6"/>
        <v>0.86823529411764699</v>
      </c>
    </row>
    <row r="52" spans="1:18" s="7" customFormat="1" ht="12.75">
      <c r="A52" s="22">
        <v>2004</v>
      </c>
      <c r="B52" s="19">
        <f>E52/D52</f>
        <v>5.584527031487227E-2</v>
      </c>
      <c r="C52" s="19">
        <f t="shared" ref="C52:C58" si="13">F52/D52</f>
        <v>1.6013433229916166E-2</v>
      </c>
      <c r="D52" s="22">
        <v>1211.92</v>
      </c>
      <c r="E52" s="18">
        <v>67.680000000000007</v>
      </c>
      <c r="F52" s="18">
        <v>19.407</v>
      </c>
      <c r="G52" s="28">
        <v>40.599320000000006</v>
      </c>
      <c r="H52" s="21">
        <f t="shared" si="7"/>
        <v>0.23752057048820641</v>
      </c>
      <c r="I52" s="21">
        <f t="shared" si="8"/>
        <v>8.5402684563758546E-2</v>
      </c>
      <c r="J52" s="19">
        <v>2.18E-2</v>
      </c>
      <c r="K52" s="19">
        <v>4.2200000000000001E-2</v>
      </c>
      <c r="L52" s="24">
        <f t="shared" si="11"/>
        <v>2.0400000000000001E-2</v>
      </c>
      <c r="M52" s="21">
        <f t="shared" si="12"/>
        <v>4.8997301930562141E-2</v>
      </c>
      <c r="N52" s="19">
        <v>2.0199999999999999E-2</v>
      </c>
      <c r="O52" s="19">
        <v>8.5000000000000006E-2</v>
      </c>
      <c r="P52" s="19">
        <v>3.6499999999999998E-2</v>
      </c>
      <c r="Q52" s="19">
        <v>4.8599999999999997E-2</v>
      </c>
      <c r="R52" s="35">
        <f t="shared" si="6"/>
        <v>0.86492890995260652</v>
      </c>
    </row>
    <row r="53" spans="1:18" s="11" customFormat="1" ht="12.75">
      <c r="A53" s="22">
        <v>2005</v>
      </c>
      <c r="B53" s="19">
        <v>5.4699999999999999E-2</v>
      </c>
      <c r="C53" s="19">
        <f t="shared" si="13"/>
        <v>1.792852622387426E-2</v>
      </c>
      <c r="D53" s="22">
        <v>1248.29</v>
      </c>
      <c r="E53" s="18">
        <v>76.45</v>
      </c>
      <c r="F53" s="22">
        <v>22.38</v>
      </c>
      <c r="G53" s="28">
        <v>61.166209999999992</v>
      </c>
      <c r="H53" s="24">
        <f t="shared" si="7"/>
        <v>0.12958037825059088</v>
      </c>
      <c r="I53" s="24">
        <f t="shared" si="8"/>
        <v>0.15319214716339458</v>
      </c>
      <c r="J53" s="19">
        <v>4.3099999999999999E-2</v>
      </c>
      <c r="K53" s="19">
        <v>4.3900000000000002E-2</v>
      </c>
      <c r="L53" s="24">
        <f t="shared" si="11"/>
        <v>8.000000000000021E-4</v>
      </c>
      <c r="M53" s="21">
        <f t="shared" si="12"/>
        <v>6.1604923715995928E-2</v>
      </c>
      <c r="N53" s="19">
        <v>2.1999999999999999E-2</v>
      </c>
      <c r="O53" s="19">
        <v>0.08</v>
      </c>
      <c r="P53" s="19">
        <v>4.0800000000000003E-2</v>
      </c>
      <c r="Q53" s="19">
        <v>5.2200000000000003E-2</v>
      </c>
      <c r="R53" s="35">
        <f t="shared" si="6"/>
        <v>0.92938496583143515</v>
      </c>
    </row>
    <row r="54" spans="1:18" s="11" customFormat="1" ht="12.75">
      <c r="A54" s="22">
        <v>2006</v>
      </c>
      <c r="B54" s="19">
        <f t="shared" ref="B54:B59" si="14">E54/D54</f>
        <v>6.1848692096171477E-2</v>
      </c>
      <c r="C54" s="19">
        <f t="shared" si="13"/>
        <v>1.766198970598604E-2</v>
      </c>
      <c r="D54" s="22">
        <v>1418.3</v>
      </c>
      <c r="E54" s="18">
        <v>87.72</v>
      </c>
      <c r="F54" s="22">
        <v>25.05</v>
      </c>
      <c r="G54" s="28">
        <v>73.157939665331128</v>
      </c>
      <c r="H54" s="24">
        <f t="shared" si="7"/>
        <v>0.1474166121648135</v>
      </c>
      <c r="I54" s="24">
        <f t="shared" si="8"/>
        <v>0.11930294906166239</v>
      </c>
      <c r="J54" s="19">
        <v>4.8800000000000003E-2</v>
      </c>
      <c r="K54" s="19">
        <v>4.7E-2</v>
      </c>
      <c r="L54" s="24">
        <f t="shared" si="11"/>
        <v>-1.800000000000003E-3</v>
      </c>
      <c r="M54" s="21">
        <f t="shared" si="12"/>
        <v>5.9309663370137933E-2</v>
      </c>
      <c r="N54" s="19">
        <v>1.9699999999999999E-2</v>
      </c>
      <c r="O54" s="19">
        <v>0.125</v>
      </c>
      <c r="P54" s="19">
        <v>4.1599999999999998E-2</v>
      </c>
      <c r="Q54" s="19">
        <v>6.1199999999999997E-2</v>
      </c>
      <c r="R54" s="35">
        <f t="shared" si="6"/>
        <v>0.88510638297872335</v>
      </c>
    </row>
    <row r="55" spans="1:18" s="11" customFormat="1" ht="12.75">
      <c r="A55" s="22">
        <v>2007</v>
      </c>
      <c r="B55" s="19">
        <f t="shared" si="14"/>
        <v>5.6212372987550746E-2</v>
      </c>
      <c r="C55" s="17">
        <f t="shared" si="13"/>
        <v>1.8885014574082652E-2</v>
      </c>
      <c r="D55" s="22">
        <v>1468.36</v>
      </c>
      <c r="E55" s="18">
        <v>82.54</v>
      </c>
      <c r="F55" s="22">
        <v>27.73</v>
      </c>
      <c r="G55" s="28">
        <v>95.362382312713706</v>
      </c>
      <c r="H55" s="24">
        <f t="shared" si="7"/>
        <v>-5.9051527587779207E-2</v>
      </c>
      <c r="I55" s="24">
        <f t="shared" si="8"/>
        <v>0.10698602794411172</v>
      </c>
      <c r="J55" s="19">
        <v>3.3099999999999997E-2</v>
      </c>
      <c r="K55" s="19">
        <v>4.02E-2</v>
      </c>
      <c r="L55" s="24">
        <f t="shared" si="11"/>
        <v>7.1000000000000021E-3</v>
      </c>
      <c r="M55" s="21">
        <f t="shared" si="12"/>
        <v>5.0333098814184435E-2</v>
      </c>
      <c r="N55" s="19">
        <v>2.06E-2</v>
      </c>
      <c r="O55" s="19">
        <v>0.05</v>
      </c>
      <c r="P55" s="19">
        <v>4.3700000000000003E-2</v>
      </c>
      <c r="Q55" s="19">
        <v>4.5900000000000003E-2</v>
      </c>
      <c r="R55" s="35">
        <f t="shared" si="6"/>
        <v>1.0870646766169154</v>
      </c>
    </row>
    <row r="56" spans="1:18" s="11" customFormat="1" ht="12.75">
      <c r="A56" s="25">
        <v>2008</v>
      </c>
      <c r="B56" s="19">
        <f t="shared" si="14"/>
        <v>7.2394132300027683E-2</v>
      </c>
      <c r="C56" s="19">
        <f t="shared" si="13"/>
        <v>3.1054525325214504E-2</v>
      </c>
      <c r="D56" s="20">
        <v>903.25</v>
      </c>
      <c r="E56" s="20">
        <v>65.39</v>
      </c>
      <c r="F56" s="20">
        <v>28.05</v>
      </c>
      <c r="G56" s="28">
        <v>67.517132259297</v>
      </c>
      <c r="H56" s="24">
        <f t="shared" si="7"/>
        <v>-0.20777804700751157</v>
      </c>
      <c r="I56" s="24">
        <f t="shared" si="8"/>
        <v>1.1539848539487974E-2</v>
      </c>
      <c r="J56" s="19">
        <v>1.5900000000000001E-2</v>
      </c>
      <c r="K56" s="19">
        <v>2.2100000000000002E-2</v>
      </c>
      <c r="L56" s="19">
        <f t="shared" si="11"/>
        <v>6.2000000000000006E-3</v>
      </c>
      <c r="M56" s="21">
        <f t="shared" si="12"/>
        <v>2.1109228697680119E-2</v>
      </c>
      <c r="N56" s="19">
        <v>4.0500000000000001E-2</v>
      </c>
      <c r="O56" s="19">
        <v>0.04</v>
      </c>
      <c r="P56" s="19">
        <v>6.4299999999999996E-2</v>
      </c>
      <c r="Q56" s="19">
        <v>6.9199999999999998E-2</v>
      </c>
      <c r="R56" s="35">
        <f t="shared" si="6"/>
        <v>2.9095022624434383</v>
      </c>
    </row>
    <row r="57" spans="1:18" s="11" customFormat="1" ht="12.75">
      <c r="A57" s="26">
        <v>2009</v>
      </c>
      <c r="B57" s="19">
        <f t="shared" si="14"/>
        <v>5.3492960272621293E-2</v>
      </c>
      <c r="C57" s="19">
        <f t="shared" si="13"/>
        <v>2.000717424446238E-2</v>
      </c>
      <c r="D57" s="20">
        <v>1115.0999999999999</v>
      </c>
      <c r="E57" s="20">
        <v>59.65</v>
      </c>
      <c r="F57" s="20">
        <v>22.31</v>
      </c>
      <c r="G57" s="28">
        <v>37.427971394037066</v>
      </c>
      <c r="H57" s="24">
        <f t="shared" si="7"/>
        <v>-8.7781006270071904E-2</v>
      </c>
      <c r="I57" s="24">
        <f t="shared" si="8"/>
        <v>-0.20463458110516941</v>
      </c>
      <c r="J57" s="19">
        <v>1.4E-3</v>
      </c>
      <c r="K57" s="19">
        <v>3.8399999999999997E-2</v>
      </c>
      <c r="L57" s="19">
        <f t="shared" si="11"/>
        <v>3.6999999999999998E-2</v>
      </c>
      <c r="M57" s="19">
        <f t="shared" si="12"/>
        <v>2.7821693040331677E-3</v>
      </c>
      <c r="N57" s="19">
        <v>2.5999999999999999E-2</v>
      </c>
      <c r="O57" s="19">
        <v>7.1999999999999995E-2</v>
      </c>
      <c r="P57" s="19">
        <v>4.36E-2</v>
      </c>
      <c r="Q57" s="19">
        <v>4.6399999999999997E-2</v>
      </c>
      <c r="R57" s="35">
        <f t="shared" si="6"/>
        <v>1.1354166666666667</v>
      </c>
    </row>
    <row r="58" spans="1:18" s="11" customFormat="1" ht="12.75">
      <c r="A58" s="26">
        <v>2010</v>
      </c>
      <c r="B58" s="19">
        <f t="shared" si="14"/>
        <v>6.6521421074393294E-2</v>
      </c>
      <c r="C58" s="19">
        <f t="shared" si="13"/>
        <v>1.8383639197226551E-2</v>
      </c>
      <c r="D58" s="20">
        <v>1257.6400000000001</v>
      </c>
      <c r="E58" s="20">
        <v>83.66</v>
      </c>
      <c r="F58" s="20">
        <v>23.12</v>
      </c>
      <c r="G58" s="28">
        <v>55.526511461067372</v>
      </c>
      <c r="H58" s="19">
        <f t="shared" si="7"/>
        <v>0.40251466890192789</v>
      </c>
      <c r="I58" s="19">
        <f t="shared" si="8"/>
        <v>3.6306588973554543E-2</v>
      </c>
      <c r="J58" s="19">
        <v>1.2999999999999999E-3</v>
      </c>
      <c r="K58" s="19">
        <v>3.2899999999999999E-2</v>
      </c>
      <c r="L58" s="19">
        <f t="shared" ref="L58:L63" si="15">K58-J58</f>
        <v>3.1599999999999996E-2</v>
      </c>
      <c r="M58" s="19">
        <f t="shared" si="12"/>
        <v>3.3342876030006567E-2</v>
      </c>
      <c r="N58" s="19">
        <v>2.24E-2</v>
      </c>
      <c r="O58" s="19">
        <v>6.9500000000000006E-2</v>
      </c>
      <c r="P58" s="19">
        <v>5.1999999999999998E-2</v>
      </c>
      <c r="Q58" s="19">
        <v>6.0900000000000003E-2</v>
      </c>
      <c r="R58" s="35">
        <f t="shared" si="6"/>
        <v>1.5805471124620061</v>
      </c>
    </row>
    <row r="59" spans="1:18" s="11" customFormat="1" ht="12.75">
      <c r="A59" s="27">
        <v>2011</v>
      </c>
      <c r="B59" s="19">
        <f t="shared" si="14"/>
        <v>7.7170801526717556E-2</v>
      </c>
      <c r="C59" s="19">
        <f>F59/D59</f>
        <v>2.069020356234097E-2</v>
      </c>
      <c r="D59" s="28">
        <v>1257.5999999999999</v>
      </c>
      <c r="E59" s="28">
        <v>97.05</v>
      </c>
      <c r="F59" s="28">
        <v>26.02</v>
      </c>
      <c r="G59" s="32">
        <v>71.27835994729908</v>
      </c>
      <c r="H59" s="19">
        <f t="shared" ref="H59:I62" si="16">E59/E58-1</f>
        <v>0.16005259383217796</v>
      </c>
      <c r="I59" s="19">
        <f t="shared" si="16"/>
        <v>0.12543252595155696</v>
      </c>
      <c r="J59" s="16">
        <v>2.9999999999999997E-4</v>
      </c>
      <c r="K59" s="16">
        <v>1.8800000000000001E-2</v>
      </c>
      <c r="L59" s="16">
        <f t="shared" si="15"/>
        <v>1.8499999999999999E-2</v>
      </c>
      <c r="M59" s="16">
        <f t="shared" si="12"/>
        <v>2.7507719217878673E-2</v>
      </c>
      <c r="N59" s="16">
        <v>2.7099999999999999E-2</v>
      </c>
      <c r="O59" s="16">
        <v>7.1800000000000003E-2</v>
      </c>
      <c r="P59" s="16">
        <v>6.0100000000000001E-2</v>
      </c>
      <c r="Q59" s="16">
        <v>8.3400000000000002E-2</v>
      </c>
      <c r="R59" s="36">
        <f t="shared" si="6"/>
        <v>3.1968085106382977</v>
      </c>
    </row>
    <row r="60" spans="1:18" s="11" customFormat="1" ht="12.75">
      <c r="A60" s="27">
        <v>2012</v>
      </c>
      <c r="B60" s="16">
        <f t="shared" ref="B60:B65" si="17">E60/D60</f>
        <v>7.1848771902761899E-2</v>
      </c>
      <c r="C60" s="16">
        <f>F60/D60</f>
        <v>2.134357974743898E-2</v>
      </c>
      <c r="D60" s="28">
        <v>1426.19</v>
      </c>
      <c r="E60" s="28">
        <v>102.47</v>
      </c>
      <c r="F60" s="28">
        <v>30.44</v>
      </c>
      <c r="G60" s="28">
        <v>75.899305674148479</v>
      </c>
      <c r="H60" s="16">
        <f t="shared" si="16"/>
        <v>5.5847501287995982E-2</v>
      </c>
      <c r="I60" s="16">
        <f t="shared" si="16"/>
        <v>0.16986933128362813</v>
      </c>
      <c r="J60" s="16">
        <v>5.0000000000000001E-4</v>
      </c>
      <c r="K60" s="16">
        <v>1.7600000000000001E-2</v>
      </c>
      <c r="L60" s="16">
        <f t="shared" si="15"/>
        <v>1.7100000000000001E-2</v>
      </c>
      <c r="M60" s="16">
        <f t="shared" si="12"/>
        <v>2.9339562123536077E-2</v>
      </c>
      <c r="N60" s="16">
        <v>2.47E-2</v>
      </c>
      <c r="O60" s="16">
        <v>5.2699999999999997E-2</v>
      </c>
      <c r="P60" s="16">
        <v>5.7799999999999997E-2</v>
      </c>
      <c r="Q60" s="16">
        <v>7.2999999999999995E-2</v>
      </c>
      <c r="R60" s="36">
        <f t="shared" si="6"/>
        <v>3.2840909090909087</v>
      </c>
    </row>
    <row r="61" spans="1:18" s="11" customFormat="1" ht="12.75">
      <c r="A61" s="27">
        <v>2013</v>
      </c>
      <c r="B61" s="15">
        <f t="shared" si="17"/>
        <v>5.813261485857734E-2</v>
      </c>
      <c r="C61" s="15">
        <v>1.9599999999999999E-2</v>
      </c>
      <c r="D61" s="28">
        <v>1848.36</v>
      </c>
      <c r="E61" s="28">
        <v>107.45</v>
      </c>
      <c r="F61" s="28">
        <v>36.28</v>
      </c>
      <c r="G61" s="28">
        <v>88.13</v>
      </c>
      <c r="H61" s="16">
        <f t="shared" si="16"/>
        <v>4.8599590123938663E-2</v>
      </c>
      <c r="I61" s="16">
        <f t="shared" si="16"/>
        <v>0.1918528252299605</v>
      </c>
      <c r="J61" s="16">
        <v>6.9999999999999999E-4</v>
      </c>
      <c r="K61" s="16">
        <v>3.04E-2</v>
      </c>
      <c r="L61" s="16">
        <f t="shared" si="15"/>
        <v>2.9700000000000001E-2</v>
      </c>
      <c r="M61" s="16">
        <f t="shared" si="12"/>
        <v>5.0111191752929218E-2</v>
      </c>
      <c r="N61" s="16">
        <v>2.0299999999999999E-2</v>
      </c>
      <c r="O61" s="16">
        <v>4.2799999999999998E-2</v>
      </c>
      <c r="P61" s="16">
        <v>4.9599999999999998E-2</v>
      </c>
      <c r="Q61" s="16">
        <v>4.99E-2</v>
      </c>
      <c r="R61" s="36">
        <f t="shared" si="6"/>
        <v>1.631578947368421</v>
      </c>
    </row>
    <row r="62" spans="1:18" s="11" customFormat="1" ht="12.75">
      <c r="A62" s="27">
        <v>2014</v>
      </c>
      <c r="B62" s="16">
        <f t="shared" si="17"/>
        <v>5.4888532711642138E-2</v>
      </c>
      <c r="C62" s="17">
        <f t="shared" ref="C62:C67" si="18">F62/D62</f>
        <v>1.9155859925202776E-2</v>
      </c>
      <c r="D62" s="28">
        <v>2058.9</v>
      </c>
      <c r="E62" s="28">
        <v>113.01</v>
      </c>
      <c r="F62" s="28">
        <v>39.44</v>
      </c>
      <c r="G62" s="33">
        <v>101.98</v>
      </c>
      <c r="H62" s="16">
        <f t="shared" si="16"/>
        <v>5.1744997673336401E-2</v>
      </c>
      <c r="I62" s="16">
        <f t="shared" si="16"/>
        <v>8.7100330760749634E-2</v>
      </c>
      <c r="J62" s="16">
        <v>5.2999999999999998E-4</v>
      </c>
      <c r="K62" s="16">
        <v>2.1700000000000001E-2</v>
      </c>
      <c r="L62" s="16">
        <f t="shared" si="15"/>
        <v>2.1170000000000001E-2</v>
      </c>
      <c r="M62" s="16">
        <f t="shared" si="12"/>
        <v>2.7741503152454418E-2</v>
      </c>
      <c r="N62" s="16">
        <v>2.24E-2</v>
      </c>
      <c r="O62" s="16">
        <v>5.5800000000000002E-2</v>
      </c>
      <c r="P62" s="16">
        <v>5.7799999999999997E-2</v>
      </c>
      <c r="Q62" s="16">
        <v>5.4800000000000001E-2</v>
      </c>
      <c r="R62" s="36">
        <f t="shared" si="6"/>
        <v>2.6635944700460827</v>
      </c>
    </row>
    <row r="63" spans="1:18" s="11" customFormat="1" ht="12.75">
      <c r="A63" s="29">
        <v>2015</v>
      </c>
      <c r="B63" s="16">
        <f t="shared" si="17"/>
        <v>5.2017182500464783E-2</v>
      </c>
      <c r="C63" s="17">
        <f t="shared" si="18"/>
        <v>2.1116079728367758E-2</v>
      </c>
      <c r="D63" s="31">
        <v>2043.94</v>
      </c>
      <c r="E63" s="31">
        <v>106.32</v>
      </c>
      <c r="F63" s="31">
        <v>43.16</v>
      </c>
      <c r="G63" s="31">
        <v>106.1</v>
      </c>
      <c r="H63" s="16">
        <f t="shared" ref="H63:I66" si="19">E63/E62-1</f>
        <v>-5.9198301035306766E-2</v>
      </c>
      <c r="I63" s="16">
        <f t="shared" si="19"/>
        <v>9.4320486815415716E-2</v>
      </c>
      <c r="J63" s="30">
        <v>2.0999999999999999E-3</v>
      </c>
      <c r="K63" s="30">
        <v>2.2700000000000001E-2</v>
      </c>
      <c r="L63" s="16">
        <f t="shared" si="15"/>
        <v>2.06E-2</v>
      </c>
      <c r="M63" s="16">
        <f t="shared" si="12"/>
        <v>2.9573664629760816E-2</v>
      </c>
      <c r="N63" s="30">
        <v>2.46E-2</v>
      </c>
      <c r="O63" s="30">
        <v>5.5100000000000003E-2</v>
      </c>
      <c r="P63" s="30">
        <v>6.1199999999999997E-2</v>
      </c>
      <c r="Q63" s="30">
        <v>5.16E-2</v>
      </c>
      <c r="R63" s="36">
        <f t="shared" si="6"/>
        <v>2.6960352422907485</v>
      </c>
    </row>
    <row r="64" spans="1:18" s="11" customFormat="1" ht="12.75">
      <c r="A64" s="42">
        <v>2016</v>
      </c>
      <c r="B64" s="16">
        <f t="shared" si="17"/>
        <v>4.8623611439903881E-2</v>
      </c>
      <c r="C64" s="17">
        <f t="shared" si="18"/>
        <v>2.0113184118490463E-2</v>
      </c>
      <c r="D64" s="44">
        <v>2238.83</v>
      </c>
      <c r="E64" s="44">
        <v>108.86</v>
      </c>
      <c r="F64" s="44">
        <v>45.03</v>
      </c>
      <c r="G64" s="31">
        <v>108.67</v>
      </c>
      <c r="H64" s="16">
        <f t="shared" si="19"/>
        <v>2.3890142964635208E-2</v>
      </c>
      <c r="I64" s="16">
        <f t="shared" si="19"/>
        <v>4.3327154772937915E-2</v>
      </c>
      <c r="J64" s="43">
        <v>5.1000000000000004E-3</v>
      </c>
      <c r="K64" s="43">
        <v>2.4500000000000001E-2</v>
      </c>
      <c r="L64" s="16">
        <f>K64-J64</f>
        <v>1.9400000000000001E-2</v>
      </c>
      <c r="M64" s="16">
        <f>K64*(1/K64)/(((1-(1+K64)^(-5))/K64)+1/K64)+I64*((1-(1+K64)^(-5))/K64)/(((1-(1+K64)^(-5))/K64)+1/K64)</f>
        <v>2.6426456692812759E-2</v>
      </c>
      <c r="N64" s="43">
        <v>2.41E-2</v>
      </c>
      <c r="O64" s="43">
        <v>5.5399999999999998E-2</v>
      </c>
      <c r="P64" s="43">
        <v>5.6899999999999999E-2</v>
      </c>
      <c r="Q64" s="43">
        <v>4.4999999999999998E-2</v>
      </c>
      <c r="R64" s="36">
        <f t="shared" si="6"/>
        <v>2.3224489795918366</v>
      </c>
    </row>
    <row r="65" spans="1:18" s="11" customFormat="1" ht="12.75">
      <c r="A65" s="42">
        <v>2017</v>
      </c>
      <c r="B65" s="16">
        <f t="shared" si="17"/>
        <v>4.6730824615407632E-2</v>
      </c>
      <c r="C65" s="17">
        <f t="shared" si="18"/>
        <v>1.8600319418314561E-2</v>
      </c>
      <c r="D65" s="44">
        <v>2673.61</v>
      </c>
      <c r="E65" s="44">
        <v>124.94</v>
      </c>
      <c r="F65" s="44">
        <v>49.73</v>
      </c>
      <c r="G65" s="31">
        <v>108.28</v>
      </c>
      <c r="H65" s="16">
        <f t="shared" si="19"/>
        <v>0.14771265846040782</v>
      </c>
      <c r="I65" s="16">
        <f t="shared" si="19"/>
        <v>0.10437486120364192</v>
      </c>
      <c r="J65" s="43">
        <v>1.3899999999999999E-2</v>
      </c>
      <c r="K65" s="43">
        <v>2.41E-2</v>
      </c>
      <c r="L65" s="16">
        <f>K65-J65</f>
        <v>1.0200000000000001E-2</v>
      </c>
      <c r="M65" s="16">
        <f>K65*(1/K65)/(((1-(1+K65)^(-5))/K65)+1/K65)+I65*((1-(1+K65)^(-5))/K65)/(((1-(1+K65)^(-5))/K65)+1/K65)</f>
        <v>3.2201797003310384E-2</v>
      </c>
      <c r="N65" s="43">
        <v>2.3599999999999999E-2</v>
      </c>
      <c r="O65" s="43">
        <v>7.0499999999999993E-2</v>
      </c>
      <c r="P65" s="43">
        <v>5.0799999999999998E-2</v>
      </c>
      <c r="Q65" s="43">
        <v>4.7500000000000001E-2</v>
      </c>
      <c r="R65" s="36">
        <f t="shared" si="6"/>
        <v>2.107883817427386</v>
      </c>
    </row>
    <row r="66" spans="1:18" s="11" customFormat="1" ht="12.75">
      <c r="A66" s="42">
        <v>2018</v>
      </c>
      <c r="B66" s="43">
        <f>E66/D66</f>
        <v>5.9173863613698467E-2</v>
      </c>
      <c r="C66" s="17">
        <f t="shared" si="18"/>
        <v>2.1385403993059018E-2</v>
      </c>
      <c r="D66" s="44">
        <v>2506.85</v>
      </c>
      <c r="E66" s="44">
        <v>148.34</v>
      </c>
      <c r="F66" s="44">
        <v>53.61</v>
      </c>
      <c r="G66" s="31">
        <v>136.65</v>
      </c>
      <c r="H66" s="16">
        <f t="shared" si="19"/>
        <v>0.18728989915159278</v>
      </c>
      <c r="I66" s="16">
        <f t="shared" si="19"/>
        <v>7.8021315101548527E-2</v>
      </c>
      <c r="J66" s="43">
        <v>2.3699999999999999E-2</v>
      </c>
      <c r="K66" s="43">
        <v>2.6800000000000001E-2</v>
      </c>
      <c r="L66" s="16">
        <f>K66-J66</f>
        <v>3.1000000000000021E-3</v>
      </c>
      <c r="M66" s="16">
        <f>K66*(1/K66)/(((1-(1+K66)^(-5))/K66)+1/K66)+I66*((1-(1+K66)^(-5))/K66)/(((1-(1+K66)^(-5))/K66)+1/K66)</f>
        <v>3.244530306769617E-2</v>
      </c>
      <c r="N66" s="43">
        <v>2.5000000000000001E-2</v>
      </c>
      <c r="O66" s="43">
        <v>4.1200000000000001E-2</v>
      </c>
      <c r="P66" s="43">
        <v>5.96E-2</v>
      </c>
      <c r="Q66" s="43">
        <v>5.5500000000000001E-2</v>
      </c>
      <c r="R66" s="36">
        <f t="shared" si="6"/>
        <v>2.2238805970149254</v>
      </c>
    </row>
    <row r="67" spans="1:18" s="11" customFormat="1" ht="12.75">
      <c r="A67" s="42">
        <v>2019</v>
      </c>
      <c r="B67" s="43">
        <f>E67/D67</f>
        <v>5.0251022972780564E-2</v>
      </c>
      <c r="C67" s="17">
        <f t="shared" si="18"/>
        <v>1.8199939333535552E-2</v>
      </c>
      <c r="D67" s="44">
        <v>3230.78</v>
      </c>
      <c r="E67" s="50">
        <v>162.35</v>
      </c>
      <c r="F67" s="50">
        <v>58.8</v>
      </c>
      <c r="G67" s="31">
        <v>150.5</v>
      </c>
      <c r="H67" s="16">
        <f>E67/E66-1</f>
        <v>9.4445193474450573E-2</v>
      </c>
      <c r="I67" s="16">
        <f>F67/F66-1</f>
        <v>9.6810296586457678E-2</v>
      </c>
      <c r="J67" s="43">
        <v>1.55E-2</v>
      </c>
      <c r="K67" s="43">
        <v>1.9199999999999998E-2</v>
      </c>
      <c r="L67" s="16">
        <f>K67-J67</f>
        <v>3.6999999999999984E-3</v>
      </c>
      <c r="M67" s="16">
        <f>K67*(1/K67)/(((1-(1+K67)^(-5))/K67)+1/K67)+I67*((1-(1+K67)^(-5))/K67)/(((1-(1+K67)^(-5))/K67)+1/K67)</f>
        <v>2.5654469111884896E-2</v>
      </c>
      <c r="N67" s="43"/>
      <c r="O67" s="43">
        <v>3.9600000000000003E-2</v>
      </c>
      <c r="P67" s="43">
        <v>5.1999999999999998E-2</v>
      </c>
      <c r="Q67" s="43">
        <v>5.0599999999999999E-2</v>
      </c>
      <c r="R67" s="36">
        <f t="shared" si="6"/>
        <v>2.7083333333333335</v>
      </c>
    </row>
    <row r="68" spans="1:18" s="14" customFormat="1" ht="36" customHeight="1">
      <c r="A68" s="12" t="s">
        <v>42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8" s="14" customFormat="1" ht="36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8" customFormat="1" ht="12.75"/>
    <row r="71" spans="1:18" customFormat="1" ht="12.75"/>
    <row r="72" spans="1:18" customFormat="1" ht="12.75"/>
    <row r="73" spans="1:18" customFormat="1" ht="12.75"/>
    <row r="74" spans="1:18" customFormat="1" ht="12.75"/>
  </sheetData>
  <mergeCells count="6">
    <mergeCell ref="B1:G1"/>
    <mergeCell ref="B2:G2"/>
    <mergeCell ref="B3:E3"/>
    <mergeCell ref="F3:G3"/>
    <mergeCell ref="B4:G4"/>
    <mergeCell ref="B5:G5"/>
  </mergeCells>
  <phoneticPr fontId="7" type="noConversion"/>
  <hyperlinks>
    <hyperlink ref="B2" r:id="rId1"/>
    <hyperlink ref="B4" r:id="rId2"/>
    <hyperlink ref="B5" r:id="rId3"/>
  </hyperlinks>
  <printOptions gridLines="1" gridLinesSet="0"/>
  <pageMargins left="0.75" right="0.75" top="1" bottom="1" header="0.5" footer="0.5"/>
  <pageSetup scale="80" orientation="landscape" horizontalDpi="4294967292" verticalDpi="4294967292"/>
  <headerFooter alignWithMargins="0">
    <oddHeader>&amp;A</oddHeader>
    <oddFooter>Page &amp;P</oddFooter>
  </headerFooter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Gráficos</vt:lpstr>
      </vt:variant>
      <vt:variant>
        <vt:i4>5</vt:i4>
      </vt:variant>
    </vt:vector>
  </HeadingPairs>
  <TitlesOfParts>
    <vt:vector size="22" baseType="lpstr">
      <vt:lpstr>Sheet17</vt:lpstr>
      <vt:lpstr>Historical Impl Premiums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Chart1</vt:lpstr>
      <vt:lpstr>Chart2</vt:lpstr>
      <vt:lpstr>Chart3</vt:lpstr>
      <vt:lpstr>Implied Premiums</vt:lpstr>
      <vt:lpstr>implpremvsriskfree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Thiago Brito</cp:lastModifiedBy>
  <dcterms:created xsi:type="dcterms:W3CDTF">1999-02-15T16:07:31Z</dcterms:created>
  <dcterms:modified xsi:type="dcterms:W3CDTF">2020-03-09T04:37:29Z</dcterms:modified>
</cp:coreProperties>
</file>