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75" windowWidth="22920" windowHeight="907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E10" i="1" l="1"/>
  <c r="F19" i="1"/>
  <c r="F20" i="1"/>
  <c r="F21" i="1"/>
  <c r="F22" i="1"/>
  <c r="F18" i="1"/>
  <c r="F4" i="1" l="1"/>
  <c r="G4" i="1" s="1"/>
  <c r="C8" i="1"/>
  <c r="H10" i="1" s="1"/>
  <c r="F14" i="1"/>
  <c r="E14" i="1"/>
  <c r="F13" i="1"/>
  <c r="E13" i="1"/>
  <c r="F12" i="1"/>
  <c r="E12" i="1"/>
  <c r="F11" i="1"/>
  <c r="E11" i="1"/>
  <c r="F10" i="1"/>
  <c r="H14" i="1" l="1"/>
  <c r="I14" i="1" s="1"/>
  <c r="H13" i="1"/>
  <c r="J13" i="1" s="1"/>
  <c r="K13" i="1" s="1"/>
  <c r="H12" i="1"/>
  <c r="J12" i="1" s="1"/>
  <c r="K12" i="1" s="1"/>
  <c r="H11" i="1"/>
  <c r="J11" i="1" s="1"/>
  <c r="K11" i="1" s="1"/>
  <c r="I10" i="1"/>
  <c r="J10" i="1"/>
  <c r="K10" i="1" s="1"/>
  <c r="A18" i="1" s="1"/>
  <c r="I13" i="1"/>
  <c r="I11" i="1"/>
  <c r="I12" i="1"/>
  <c r="J14" i="1" l="1"/>
  <c r="K14" i="1" s="1"/>
  <c r="A22" i="1" s="1"/>
  <c r="A19" i="1"/>
  <c r="C19" i="1" s="1"/>
  <c r="E19" i="1" s="1"/>
  <c r="A20" i="1"/>
  <c r="C20" i="1" s="1"/>
  <c r="E20" i="1" s="1"/>
  <c r="L12" i="1"/>
  <c r="M12" i="1" s="1"/>
  <c r="N12" i="1" s="1"/>
  <c r="A21" i="1"/>
  <c r="B21" i="1" s="1"/>
  <c r="D21" i="1" s="1"/>
  <c r="L13" i="1"/>
  <c r="M13" i="1" s="1"/>
  <c r="N13" i="1" s="1"/>
  <c r="B18" i="1"/>
  <c r="D18" i="1" s="1"/>
  <c r="C18" i="1"/>
  <c r="E18" i="1" s="1"/>
  <c r="L10" i="1"/>
  <c r="M10" i="1" s="1"/>
  <c r="N10" i="1" s="1"/>
  <c r="B19" i="1"/>
  <c r="D19" i="1" s="1"/>
  <c r="L11" i="1"/>
  <c r="M11" i="1" s="1"/>
  <c r="N11" i="1" s="1"/>
  <c r="G5" i="1"/>
  <c r="F1" i="1"/>
  <c r="H1" i="1" s="1"/>
  <c r="B22" i="1" l="1"/>
  <c r="D22" i="1" s="1"/>
  <c r="C22" i="1"/>
  <c r="E22" i="1" s="1"/>
  <c r="L14" i="1"/>
  <c r="M14" i="1" s="1"/>
  <c r="N14" i="1" s="1"/>
  <c r="B20" i="1"/>
  <c r="D20" i="1" s="1"/>
  <c r="C21" i="1"/>
  <c r="E21" i="1" s="1"/>
</calcChain>
</file>

<file path=xl/sharedStrings.xml><?xml version="1.0" encoding="utf-8"?>
<sst xmlns="http://schemas.openxmlformats.org/spreadsheetml/2006/main" count="46" uniqueCount="43">
  <si>
    <t>https://www.agilent.com/store/biocalculators/calcODBacterial.jsp?_requestid=962079</t>
  </si>
  <si>
    <t>OD600</t>
  </si>
  <si>
    <t>Cells</t>
  </si>
  <si>
    <t>cells/mL</t>
  </si>
  <si>
    <r>
      <t>8.10</t>
    </r>
    <r>
      <rPr>
        <vertAlign val="superscript"/>
        <sz val="11"/>
        <color theme="1"/>
        <rFont val="Calibri"/>
        <family val="2"/>
        <scheme val="minor"/>
      </rPr>
      <t>8</t>
    </r>
  </si>
  <si>
    <t>mol</t>
  </si>
  <si>
    <t>mol.L-1</t>
  </si>
  <si>
    <t>Volume Capillary</t>
  </si>
  <si>
    <t>Estimated Volume</t>
  </si>
  <si>
    <t>uL</t>
  </si>
  <si>
    <t>Number of cells</t>
  </si>
  <si>
    <t>Capillary number</t>
  </si>
  <si>
    <t>mi (g)</t>
  </si>
  <si>
    <t>mwet (g)</t>
  </si>
  <si>
    <t>mdry (g)</t>
  </si>
  <si>
    <r>
      <rPr>
        <b/>
        <sz val="11"/>
        <color theme="1"/>
        <rFont val="Symbol"/>
        <family val="1"/>
        <charset val="2"/>
      </rPr>
      <t>D</t>
    </r>
    <r>
      <rPr>
        <b/>
        <sz val="11"/>
        <color theme="1"/>
        <rFont val="Calibri"/>
        <family val="2"/>
        <scheme val="minor"/>
      </rPr>
      <t>mwet (g)</t>
    </r>
  </si>
  <si>
    <r>
      <rPr>
        <b/>
        <sz val="11"/>
        <color theme="1"/>
        <rFont val="Symbol"/>
        <family val="1"/>
        <charset val="2"/>
      </rPr>
      <t>D</t>
    </r>
    <r>
      <rPr>
        <b/>
        <sz val="11"/>
        <color theme="1"/>
        <rFont val="Calibri"/>
        <family val="2"/>
        <scheme val="minor"/>
      </rPr>
      <t>mdry (g)</t>
    </r>
  </si>
  <si>
    <t>Length Capillary (mm)</t>
  </si>
  <si>
    <t>V (uL)</t>
  </si>
  <si>
    <t>Cwet (g/L)</t>
  </si>
  <si>
    <t>Cdry (g/L)</t>
  </si>
  <si>
    <t xml:space="preserve">Equivalent OD </t>
  </si>
  <si>
    <t>Length capillary (mm) =</t>
  </si>
  <si>
    <t>V (uL) =</t>
  </si>
  <si>
    <t>(Kimble 71900-50)</t>
  </si>
  <si>
    <t>L</t>
  </si>
  <si>
    <t>Concentration of cells</t>
  </si>
  <si>
    <t>Equivalent CFU</t>
  </si>
  <si>
    <t>O2 consumption max umol/day</t>
  </si>
  <si>
    <t>O2 consumption min  umol/day</t>
  </si>
  <si>
    <t>https://www.sciencedirect.com/science/article/abs/pii/B978044463278400001X</t>
  </si>
  <si>
    <t>n(O2) in 20uL</t>
  </si>
  <si>
    <t>mol dm−3</t>
  </si>
  <si>
    <t>Concentration in water:</t>
  </si>
  <si>
    <r>
      <t>m</t>
    </r>
    <r>
      <rPr>
        <b/>
        <sz val="12"/>
        <color theme="1"/>
        <rFont val="Arial"/>
        <family val="2"/>
      </rPr>
      <t>mol(O</t>
    </r>
    <r>
      <rPr>
        <b/>
        <vertAlign val="subscript"/>
        <sz val="12"/>
        <color theme="1"/>
        <rFont val="Arial"/>
        <family val="2"/>
      </rPr>
      <t>2</t>
    </r>
    <r>
      <rPr>
        <b/>
        <sz val="12"/>
        <color theme="1"/>
        <rFont val="Arial"/>
        <family val="2"/>
      </rPr>
      <t>).CFU</t>
    </r>
    <r>
      <rPr>
        <b/>
        <vertAlign val="superscript"/>
        <sz val="12"/>
        <color theme="1"/>
        <rFont val="Arial"/>
        <family val="2"/>
      </rPr>
      <t>−1</t>
    </r>
    <r>
      <rPr>
        <b/>
        <sz val="12"/>
        <color theme="1"/>
        <rFont val="Arial"/>
        <family val="2"/>
      </rPr>
      <t>day</t>
    </r>
    <r>
      <rPr>
        <b/>
        <vertAlign val="superscript"/>
        <sz val="12"/>
        <color theme="1"/>
        <rFont val="Arial"/>
        <family val="2"/>
      </rPr>
      <t>−1</t>
    </r>
  </si>
  <si>
    <t>E Coli Consumption of O2:</t>
  </si>
  <si>
    <t>Conversion factor gDW/OD600</t>
  </si>
  <si>
    <t>g/L/OD600</t>
  </si>
  <si>
    <t>Consumption time max (s)</t>
  </si>
  <si>
    <t>Consumption time  min (min)</t>
  </si>
  <si>
    <t>https://journals.asm.org/doi/10.1128/aem.00756-13</t>
  </si>
  <si>
    <t>Myers et al.:  https://doi.org/10.1186/2046-1682-6-4</t>
  </si>
  <si>
    <r>
      <t>m</t>
    </r>
    <r>
      <rPr>
        <b/>
        <vertAlign val="superscript"/>
        <sz val="11"/>
        <color theme="1"/>
        <rFont val="Calibri"/>
        <family val="2"/>
        <scheme val="minor"/>
      </rPr>
      <t>3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</si>
</sst>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2" x14ac:knownFonts="1"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8"/>
      <color theme="10"/>
      <name val="Calibri"/>
      <family val="2"/>
      <scheme val="minor"/>
    </font>
    <font>
      <b/>
      <sz val="11"/>
      <color theme="1"/>
      <name val="Symbol"/>
      <family val="1"/>
      <charset val="2"/>
    </font>
    <font>
      <b/>
      <sz val="11"/>
      <color rgb="FFFF0000"/>
      <name val="Calibri"/>
      <family val="2"/>
      <scheme val="minor"/>
    </font>
    <font>
      <b/>
      <sz val="12"/>
      <color theme="1"/>
      <name val="Symbol"/>
      <family val="1"/>
      <charset val="2"/>
    </font>
    <font>
      <b/>
      <sz val="12"/>
      <color theme="1"/>
      <name val="Arial"/>
      <family val="2"/>
    </font>
    <font>
      <b/>
      <vertAlign val="subscript"/>
      <sz val="12"/>
      <color theme="1"/>
      <name val="Arial"/>
      <family val="2"/>
    </font>
    <font>
      <b/>
      <vertAlign val="superscript"/>
      <sz val="12"/>
      <color theme="1"/>
      <name val="Arial"/>
      <family val="2"/>
    </font>
    <font>
      <b/>
      <vertAlign val="super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5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4" fillId="0" borderId="0" xfId="1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3" fillId="0" borderId="12" xfId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11" fontId="2" fillId="0" borderId="12" xfId="0" applyNumberFormat="1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8" xfId="0" quotePrefix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" fontId="0" fillId="0" borderId="1" xfId="0" applyNumberFormat="1" applyBorder="1" applyAlignment="1">
      <alignment horizontal="center" vertical="center" wrapText="1"/>
    </xf>
    <xf numFmtId="11" fontId="0" fillId="0" borderId="1" xfId="0" applyNumberFormat="1" applyBorder="1" applyAlignment="1">
      <alignment horizontal="center" vertical="center" wrapText="1"/>
    </xf>
    <xf numFmtId="164" fontId="0" fillId="0" borderId="8" xfId="0" applyNumberFormat="1" applyBorder="1" applyAlignment="1">
      <alignment horizontal="center" vertical="center" wrapText="1"/>
    </xf>
    <xf numFmtId="1" fontId="0" fillId="0" borderId="8" xfId="0" applyNumberFormat="1" applyBorder="1" applyAlignment="1">
      <alignment horizontal="center" vertical="center" wrapText="1"/>
    </xf>
    <xf numFmtId="11" fontId="0" fillId="0" borderId="8" xfId="0" applyNumberForma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11" fontId="0" fillId="0" borderId="5" xfId="0" applyNumberFormat="1" applyBorder="1" applyAlignment="1">
      <alignment horizontal="center" vertical="center" wrapText="1"/>
    </xf>
    <xf numFmtId="11" fontId="0" fillId="0" borderId="6" xfId="0" applyNumberFormat="1" applyBorder="1" applyAlignment="1">
      <alignment horizontal="center" vertical="center" wrapText="1"/>
    </xf>
    <xf numFmtId="11" fontId="0" fillId="0" borderId="7" xfId="0" applyNumberFormat="1" applyBorder="1" applyAlignment="1">
      <alignment horizontal="center" vertical="center" wrapText="1"/>
    </xf>
    <xf numFmtId="11" fontId="0" fillId="0" borderId="9" xfId="0" applyNumberForma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journals.asm.org/doi/10.1128/aem.00756-13" TargetMode="External"/><Relationship Id="rId1" Type="http://schemas.openxmlformats.org/officeDocument/2006/relationships/hyperlink" Target="https://www.agilent.com/store/biocalculators/calcODBacterial.jsp?_requestid=96207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2"/>
  <sheetViews>
    <sheetView tabSelected="1" zoomScale="70" zoomScaleNormal="70" workbookViewId="0">
      <selection activeCell="M26" sqref="M26"/>
    </sheetView>
  </sheetViews>
  <sheetFormatPr defaultRowHeight="15" x14ac:dyDescent="0.25"/>
  <cols>
    <col min="1" max="1" width="59.28515625" customWidth="1"/>
    <col min="2" max="2" width="33.7109375" customWidth="1"/>
    <col min="3" max="3" width="21.42578125" customWidth="1"/>
    <col min="4" max="4" width="24.140625" customWidth="1"/>
    <col min="5" max="5" width="20.85546875" customWidth="1"/>
    <col min="6" max="6" width="17.5703125" customWidth="1"/>
    <col min="7" max="7" width="23" customWidth="1"/>
    <col min="8" max="8" width="15.28515625" customWidth="1"/>
    <col min="9" max="9" width="14.28515625" customWidth="1"/>
    <col min="13" max="13" width="19.140625" customWidth="1"/>
    <col min="14" max="14" width="16.140625" customWidth="1"/>
    <col min="15" max="15" width="15.5703125" customWidth="1"/>
    <col min="16" max="16" width="17.28515625" customWidth="1"/>
    <col min="17" max="17" width="11.85546875" customWidth="1"/>
    <col min="18" max="18" width="14.28515625" customWidth="1"/>
    <col min="21" max="21" width="10.28515625" customWidth="1"/>
  </cols>
  <sheetData>
    <row r="1" spans="1:14" ht="64.150000000000006" customHeight="1" x14ac:dyDescent="0.25">
      <c r="A1" s="6" t="s">
        <v>1</v>
      </c>
      <c r="B1" s="24">
        <v>1</v>
      </c>
      <c r="C1" s="13" t="s">
        <v>41</v>
      </c>
      <c r="D1" s="3" t="s">
        <v>0</v>
      </c>
      <c r="E1" s="6" t="s">
        <v>8</v>
      </c>
      <c r="F1" s="24">
        <f>(0.001/2)^2*PI()*0.025</f>
        <v>1.9634954084936208E-8</v>
      </c>
      <c r="G1" s="7" t="s">
        <v>42</v>
      </c>
      <c r="H1" s="24">
        <f>F1*1000*1000000</f>
        <v>19.634954084936208</v>
      </c>
      <c r="I1" s="8" t="s">
        <v>9</v>
      </c>
      <c r="J1" s="4"/>
      <c r="K1" s="4"/>
      <c r="L1" s="4"/>
      <c r="M1" s="4"/>
      <c r="N1" s="4"/>
    </row>
    <row r="2" spans="1:14" ht="18" thickBot="1" x14ac:dyDescent="0.3">
      <c r="A2" s="10" t="s">
        <v>2</v>
      </c>
      <c r="B2" s="25" t="s">
        <v>4</v>
      </c>
      <c r="C2" s="26" t="s">
        <v>3</v>
      </c>
      <c r="D2" s="4"/>
      <c r="E2" s="9" t="s">
        <v>7</v>
      </c>
      <c r="F2" s="12">
        <v>2.0000000000000002E-5</v>
      </c>
      <c r="G2" s="5" t="s">
        <v>25</v>
      </c>
      <c r="H2" s="12"/>
      <c r="I2" s="27"/>
      <c r="J2" s="4"/>
      <c r="K2" s="4"/>
      <c r="L2" s="4"/>
      <c r="M2" s="4"/>
      <c r="N2" s="4"/>
    </row>
    <row r="3" spans="1:14" ht="27" customHeight="1" x14ac:dyDescent="0.25">
      <c r="A3" s="4"/>
      <c r="B3" s="4"/>
      <c r="C3" s="4"/>
      <c r="D3" s="4"/>
      <c r="E3" s="9" t="s">
        <v>1</v>
      </c>
      <c r="F3" s="12">
        <v>1000</v>
      </c>
      <c r="G3" s="12"/>
      <c r="H3" s="12"/>
      <c r="I3" s="27"/>
      <c r="J3" s="4"/>
      <c r="K3" s="4"/>
      <c r="L3" s="4"/>
      <c r="M3" s="4"/>
      <c r="N3" s="4"/>
    </row>
    <row r="4" spans="1:14" ht="17.45" customHeight="1" x14ac:dyDescent="0.25">
      <c r="A4" s="3"/>
      <c r="B4" s="4"/>
      <c r="C4" s="4"/>
      <c r="D4" s="4"/>
      <c r="E4" s="9" t="s">
        <v>10</v>
      </c>
      <c r="F4" s="12">
        <f>F3*F2*1000*800000000</f>
        <v>16000000000</v>
      </c>
      <c r="G4" s="12">
        <f>F4/6.023E+23</f>
        <v>2.656483479993359E-14</v>
      </c>
      <c r="H4" s="5" t="s">
        <v>5</v>
      </c>
      <c r="I4" s="27"/>
      <c r="J4" s="4"/>
      <c r="K4" s="4"/>
      <c r="L4" s="4"/>
      <c r="M4" s="4"/>
      <c r="N4" s="4"/>
    </row>
    <row r="5" spans="1:14" ht="15.75" thickBot="1" x14ac:dyDescent="0.3">
      <c r="A5" s="4"/>
      <c r="B5" s="2"/>
      <c r="C5" s="4"/>
      <c r="D5" s="4"/>
      <c r="E5" s="28"/>
      <c r="F5" s="29"/>
      <c r="G5" s="29">
        <f>G4/F2</f>
        <v>1.3282417399966793E-9</v>
      </c>
      <c r="H5" s="30" t="s">
        <v>6</v>
      </c>
      <c r="I5" s="31"/>
      <c r="J5" s="4"/>
      <c r="K5" s="4"/>
      <c r="L5" s="4"/>
      <c r="M5" s="4"/>
      <c r="N5" s="4"/>
    </row>
    <row r="6" spans="1:14" x14ac:dyDescent="0.2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</row>
    <row r="7" spans="1:14" ht="15.75" thickBot="1" x14ac:dyDescent="0.3">
      <c r="A7" s="4"/>
      <c r="B7" s="4"/>
      <c r="C7" s="4"/>
      <c r="D7" s="4"/>
      <c r="E7" s="4"/>
      <c r="F7" s="4"/>
      <c r="G7" s="2"/>
      <c r="H7" s="4"/>
      <c r="I7" s="4"/>
      <c r="J7" s="4"/>
      <c r="K7" s="4"/>
      <c r="L7" s="4"/>
      <c r="M7" s="4"/>
      <c r="N7" s="4"/>
    </row>
    <row r="8" spans="1:14" ht="45.75" thickBot="1" x14ac:dyDescent="0.3">
      <c r="A8" s="4"/>
      <c r="B8" s="20" t="s">
        <v>22</v>
      </c>
      <c r="C8" s="22">
        <f>5*2.54*10</f>
        <v>127</v>
      </c>
      <c r="D8" s="22" t="s">
        <v>23</v>
      </c>
      <c r="E8" s="22">
        <v>50</v>
      </c>
      <c r="F8" s="22" t="s">
        <v>24</v>
      </c>
      <c r="G8" s="32"/>
      <c r="H8" s="22" t="s">
        <v>36</v>
      </c>
      <c r="I8" s="32">
        <v>0.39600000000000002</v>
      </c>
      <c r="J8" s="33" t="s">
        <v>37</v>
      </c>
      <c r="K8" s="4"/>
      <c r="L8" s="4"/>
      <c r="M8" s="4"/>
      <c r="N8" s="4"/>
    </row>
    <row r="9" spans="1:14" ht="30" x14ac:dyDescent="0.25">
      <c r="A9" s="6" t="s">
        <v>11</v>
      </c>
      <c r="B9" s="11" t="s">
        <v>12</v>
      </c>
      <c r="C9" s="11" t="s">
        <v>13</v>
      </c>
      <c r="D9" s="11" t="s">
        <v>14</v>
      </c>
      <c r="E9" s="11" t="s">
        <v>15</v>
      </c>
      <c r="F9" s="11" t="s">
        <v>16</v>
      </c>
      <c r="G9" s="11" t="s">
        <v>17</v>
      </c>
      <c r="H9" s="11" t="s">
        <v>18</v>
      </c>
      <c r="I9" s="11" t="s">
        <v>19</v>
      </c>
      <c r="J9" s="11" t="s">
        <v>20</v>
      </c>
      <c r="K9" s="7" t="s">
        <v>21</v>
      </c>
      <c r="L9" s="7" t="s">
        <v>10</v>
      </c>
      <c r="M9" s="7" t="s">
        <v>5</v>
      </c>
      <c r="N9" s="8" t="s">
        <v>26</v>
      </c>
    </row>
    <row r="10" spans="1:14" x14ac:dyDescent="0.25">
      <c r="A10" s="9">
        <v>1</v>
      </c>
      <c r="B10" s="12">
        <v>0.24041999999999999</v>
      </c>
      <c r="C10" s="12">
        <v>0.26419999999999999</v>
      </c>
      <c r="D10" s="12">
        <v>0.24762000000000001</v>
      </c>
      <c r="E10" s="12">
        <f>C10-B10</f>
        <v>2.3779999999999996E-2</v>
      </c>
      <c r="F10" s="12">
        <f t="shared" ref="F10:F14" si="0">D10-B10</f>
        <v>7.2000000000000119E-3</v>
      </c>
      <c r="G10" s="12">
        <v>25</v>
      </c>
      <c r="H10" s="34">
        <f>G10/$C$8*$E$8</f>
        <v>9.8425196850393704</v>
      </c>
      <c r="I10" s="35">
        <f t="shared" ref="I10:I14" si="1">E10/(H10*0.000001)</f>
        <v>2416.0479999999998</v>
      </c>
      <c r="J10" s="35">
        <f>F10/(H10*0.000001)</f>
        <v>731.52000000000123</v>
      </c>
      <c r="K10" s="35">
        <f>J10/$I$8</f>
        <v>1847.2727272727302</v>
      </c>
      <c r="L10" s="36">
        <f>K10*800000000*(H10*0.001)</f>
        <v>14545454545.454567</v>
      </c>
      <c r="M10" s="36">
        <f>L10/6.023E+23</f>
        <v>2.4149849818121481E-14</v>
      </c>
      <c r="N10" s="27">
        <f>M10/(H10*0.000001)</f>
        <v>2.4536247415211426E-9</v>
      </c>
    </row>
    <row r="11" spans="1:14" x14ac:dyDescent="0.25">
      <c r="A11" s="9">
        <v>2</v>
      </c>
      <c r="B11" s="12">
        <v>0.24052999999999999</v>
      </c>
      <c r="C11" s="12">
        <v>0.2616</v>
      </c>
      <c r="D11" s="12">
        <v>0.24954999999999999</v>
      </c>
      <c r="E11" s="12">
        <f t="shared" ref="E11:E14" si="2">C11-B11</f>
        <v>2.1070000000000005E-2</v>
      </c>
      <c r="F11" s="12">
        <f t="shared" si="0"/>
        <v>9.0200000000000002E-3</v>
      </c>
      <c r="G11" s="12">
        <v>28</v>
      </c>
      <c r="H11" s="34">
        <f>G11/$C$8*$E$8</f>
        <v>11.023622047244094</v>
      </c>
      <c r="I11" s="35">
        <f t="shared" si="1"/>
        <v>1911.3500000000006</v>
      </c>
      <c r="J11" s="35">
        <f t="shared" ref="J11:J14" si="3">F11/(H11*0.000001)</f>
        <v>818.24285714285725</v>
      </c>
      <c r="K11" s="35">
        <f>J11/$I$8</f>
        <v>2066.2698412698414</v>
      </c>
      <c r="L11" s="36">
        <f>K11*800000000*H11*0.001</f>
        <v>18222222222.222221</v>
      </c>
      <c r="M11" s="36">
        <f t="shared" ref="M11:M14" si="4">L11/6.023E+23</f>
        <v>3.0254395188813253E-14</v>
      </c>
      <c r="N11" s="27">
        <f>M11/(H11*0.000001)</f>
        <v>2.7445058492709168E-9</v>
      </c>
    </row>
    <row r="12" spans="1:14" x14ac:dyDescent="0.25">
      <c r="A12" s="9">
        <v>3</v>
      </c>
      <c r="B12" s="12">
        <v>0.24193999999999999</v>
      </c>
      <c r="C12" s="12">
        <v>0.26336999999999999</v>
      </c>
      <c r="D12" s="12">
        <v>0.25037999999999999</v>
      </c>
      <c r="E12" s="12">
        <f t="shared" si="2"/>
        <v>2.1430000000000005E-2</v>
      </c>
      <c r="F12" s="12">
        <f t="shared" si="0"/>
        <v>8.4400000000000031E-3</v>
      </c>
      <c r="G12" s="12">
        <v>28</v>
      </c>
      <c r="H12" s="34">
        <f>G12/$C$8*$E$8</f>
        <v>11.023622047244094</v>
      </c>
      <c r="I12" s="35">
        <f t="shared" si="1"/>
        <v>1944.0071428571434</v>
      </c>
      <c r="J12" s="35">
        <f t="shared" si="3"/>
        <v>765.62857142857172</v>
      </c>
      <c r="K12" s="35">
        <f>J12/$I$8</f>
        <v>1933.4054834054841</v>
      </c>
      <c r="L12" s="36">
        <f>K12*800000000*H12*0.001</f>
        <v>17050505050.505056</v>
      </c>
      <c r="M12" s="36">
        <f t="shared" si="4"/>
        <v>2.830899062013126E-14</v>
      </c>
      <c r="N12" s="27">
        <f>M12/(H12*0.000001)</f>
        <v>2.5680298633976217E-9</v>
      </c>
    </row>
    <row r="13" spans="1:14" x14ac:dyDescent="0.25">
      <c r="A13" s="9">
        <v>4</v>
      </c>
      <c r="B13" s="12">
        <v>0.24151</v>
      </c>
      <c r="C13" s="12">
        <v>0.26611000000000001</v>
      </c>
      <c r="D13" s="12">
        <v>0.24912000000000001</v>
      </c>
      <c r="E13" s="12">
        <f t="shared" si="2"/>
        <v>2.4600000000000011E-2</v>
      </c>
      <c r="F13" s="12">
        <f t="shared" si="0"/>
        <v>7.6100000000000056E-3</v>
      </c>
      <c r="G13" s="12">
        <v>32</v>
      </c>
      <c r="H13" s="34">
        <f>G13/$C$8*$E$8</f>
        <v>12.598425196850393</v>
      </c>
      <c r="I13" s="35">
        <f t="shared" si="1"/>
        <v>1952.6250000000011</v>
      </c>
      <c r="J13" s="35">
        <f t="shared" si="3"/>
        <v>604.0437500000005</v>
      </c>
      <c r="K13" s="35">
        <f>J13/$I$8</f>
        <v>1525.3630050505062</v>
      </c>
      <c r="L13" s="36">
        <f>K13*800000000*H13*0.001</f>
        <v>15373737373.737385</v>
      </c>
      <c r="M13" s="36">
        <f t="shared" si="4"/>
        <v>2.5525049599431157E-14</v>
      </c>
      <c r="N13" s="27">
        <f>M13/(H13*0.000001)</f>
        <v>2.0260508119548484E-9</v>
      </c>
    </row>
    <row r="14" spans="1:14" ht="15.75" thickBot="1" x14ac:dyDescent="0.3">
      <c r="A14" s="10">
        <v>5</v>
      </c>
      <c r="B14" s="29">
        <v>0.24390000000000001</v>
      </c>
      <c r="C14" s="29">
        <v>0.27023000000000003</v>
      </c>
      <c r="D14" s="29">
        <v>0.25178</v>
      </c>
      <c r="E14" s="29">
        <f t="shared" si="2"/>
        <v>2.633000000000002E-2</v>
      </c>
      <c r="F14" s="29">
        <f t="shared" si="0"/>
        <v>7.8799999999999981E-3</v>
      </c>
      <c r="G14" s="29">
        <v>31</v>
      </c>
      <c r="H14" s="37">
        <f>G14/$C$8*$E$8</f>
        <v>12.204724409448819</v>
      </c>
      <c r="I14" s="38">
        <f t="shared" si="1"/>
        <v>2157.3612903225826</v>
      </c>
      <c r="J14" s="38">
        <f t="shared" si="3"/>
        <v>645.65161290322578</v>
      </c>
      <c r="K14" s="38">
        <f>J14/$I$8</f>
        <v>1630.4333659172366</v>
      </c>
      <c r="L14" s="39">
        <f>K14*800000000*H14*0.001</f>
        <v>15919191919.191916</v>
      </c>
      <c r="M14" s="39">
        <f t="shared" si="4"/>
        <v>2.6430668967610687E-14</v>
      </c>
      <c r="N14" s="31">
        <f>M14/(H14*0.000001)</f>
        <v>2.1656096508945535E-9</v>
      </c>
    </row>
    <row r="15" spans="1:14" ht="42" customHeight="1" thickBot="1" x14ac:dyDescent="0.3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</row>
    <row r="16" spans="1:14" ht="45" customHeight="1" thickBot="1" x14ac:dyDescent="0.3">
      <c r="A16" s="15" t="s">
        <v>35</v>
      </c>
      <c r="B16" s="21">
        <v>2.3999999999999998E-7</v>
      </c>
      <c r="C16" s="21">
        <v>3.3E-10</v>
      </c>
      <c r="D16" s="40" t="s">
        <v>34</v>
      </c>
      <c r="E16" s="16" t="s">
        <v>40</v>
      </c>
      <c r="F16" s="17"/>
      <c r="G16" s="19"/>
      <c r="H16" s="4"/>
      <c r="I16" s="4"/>
      <c r="J16" s="4"/>
      <c r="K16" s="4"/>
      <c r="L16" s="4"/>
      <c r="M16" s="4"/>
      <c r="N16" s="4"/>
    </row>
    <row r="17" spans="1:22" ht="30.75" thickBot="1" x14ac:dyDescent="0.3">
      <c r="A17" s="14" t="s">
        <v>27</v>
      </c>
      <c r="B17" s="11" t="s">
        <v>28</v>
      </c>
      <c r="C17" s="11" t="s">
        <v>29</v>
      </c>
      <c r="D17" s="11" t="s">
        <v>38</v>
      </c>
      <c r="E17" s="11" t="s">
        <v>39</v>
      </c>
      <c r="F17" s="23" t="s">
        <v>31</v>
      </c>
      <c r="G17" s="20" t="s">
        <v>33</v>
      </c>
      <c r="H17" s="21">
        <v>1.2199999999999999E-3</v>
      </c>
      <c r="I17" s="22" t="s">
        <v>32</v>
      </c>
      <c r="J17" s="17" t="s">
        <v>30</v>
      </c>
      <c r="K17" s="17"/>
      <c r="L17" s="18"/>
      <c r="M17" s="4"/>
      <c r="N17" s="4"/>
    </row>
    <row r="18" spans="1:22" x14ac:dyDescent="0.25">
      <c r="A18" s="41">
        <f>K10*800000000*H10*0.001</f>
        <v>14545454545.454569</v>
      </c>
      <c r="B18" s="36">
        <f>$B$16*A18</f>
        <v>3490.909090909096</v>
      </c>
      <c r="C18" s="36">
        <f>$C$16*A18</f>
        <v>4.8000000000000078</v>
      </c>
      <c r="D18" s="36">
        <f>(F18*1000000)/B18*24*60*60</f>
        <v>0.6038999999999991</v>
      </c>
      <c r="E18" s="36">
        <f>(F18*1000000)/C18*24*60</f>
        <v>7.3199999999999878</v>
      </c>
      <c r="F18" s="42">
        <f>0.00002*$H$17</f>
        <v>2.44E-8</v>
      </c>
      <c r="G18" s="4"/>
      <c r="H18" s="4"/>
      <c r="I18" s="4"/>
      <c r="J18" s="4"/>
      <c r="K18" s="4"/>
      <c r="L18" s="4"/>
      <c r="M18" s="4"/>
      <c r="N18" s="4"/>
    </row>
    <row r="19" spans="1:22" x14ac:dyDescent="0.25">
      <c r="A19" s="41">
        <f>K11*800000000*H11*0.001</f>
        <v>18222222222.222221</v>
      </c>
      <c r="B19" s="36">
        <f>$B$16*A19</f>
        <v>4373.333333333333</v>
      </c>
      <c r="C19" s="36">
        <f>$C$16*A19</f>
        <v>6.0133333333333328</v>
      </c>
      <c r="D19" s="36">
        <f t="shared" ref="D19:D22" si="5">(F19*1000000)/B19*24*60*60</f>
        <v>0.48204878048780503</v>
      </c>
      <c r="E19" s="36">
        <f t="shared" ref="E19:E22" si="6">(F19*1000000)/C19*24*60</f>
        <v>5.8430155210643031</v>
      </c>
      <c r="F19" s="42">
        <f>0.00002*$H$17</f>
        <v>2.44E-8</v>
      </c>
      <c r="G19" s="4"/>
      <c r="H19" s="4"/>
      <c r="I19" s="4"/>
      <c r="J19" s="4"/>
      <c r="K19" s="4"/>
      <c r="L19" s="4"/>
      <c r="M19" s="4"/>
      <c r="N19" s="4"/>
    </row>
    <row r="20" spans="1:22" x14ac:dyDescent="0.25">
      <c r="A20" s="41">
        <f>K12*800000000*H12*0.001</f>
        <v>17050505050.505056</v>
      </c>
      <c r="B20" s="36">
        <f>$B$16*A20</f>
        <v>4092.1212121212134</v>
      </c>
      <c r="C20" s="36">
        <f>$C$16*A20</f>
        <v>5.6266666666666687</v>
      </c>
      <c r="D20" s="36">
        <f t="shared" si="5"/>
        <v>0.51517535545023685</v>
      </c>
      <c r="E20" s="36">
        <f t="shared" si="6"/>
        <v>6.2445497630331737</v>
      </c>
      <c r="F20" s="42">
        <f>0.00002*$H$17</f>
        <v>2.44E-8</v>
      </c>
      <c r="G20" s="4"/>
      <c r="H20" s="4"/>
      <c r="I20" s="4"/>
      <c r="J20" s="4"/>
      <c r="K20" s="4"/>
      <c r="L20" s="4"/>
      <c r="M20" s="4"/>
      <c r="N20" s="4"/>
    </row>
    <row r="21" spans="1:22" x14ac:dyDescent="0.25">
      <c r="A21" s="41">
        <f>K13*800000000*H13*0.001</f>
        <v>15373737373.737385</v>
      </c>
      <c r="B21" s="36">
        <f>$B$16*A21</f>
        <v>3689.6969696969722</v>
      </c>
      <c r="C21" s="36">
        <f>$C$16*A21</f>
        <v>5.0733333333333368</v>
      </c>
      <c r="D21" s="36">
        <f t="shared" si="5"/>
        <v>0.57136399474375776</v>
      </c>
      <c r="E21" s="36">
        <f t="shared" si="6"/>
        <v>6.9256241787122166</v>
      </c>
      <c r="F21" s="42">
        <f>0.00002*$H$17</f>
        <v>2.44E-8</v>
      </c>
      <c r="G21" s="4"/>
      <c r="H21" s="4"/>
      <c r="I21" s="4"/>
      <c r="J21" s="4"/>
      <c r="K21" s="4"/>
      <c r="L21" s="4"/>
      <c r="M21" s="4"/>
      <c r="N21" s="4"/>
    </row>
    <row r="22" spans="1:22" ht="15.75" thickBot="1" x14ac:dyDescent="0.3">
      <c r="A22" s="43">
        <f>K14*800000000*H14*0.001</f>
        <v>15919191919.191916</v>
      </c>
      <c r="B22" s="39">
        <f>$B$16*A22</f>
        <v>3820.6060606060596</v>
      </c>
      <c r="C22" s="39">
        <f>$C$16*A22</f>
        <v>5.2533333333333321</v>
      </c>
      <c r="D22" s="39">
        <f t="shared" si="5"/>
        <v>0.55178680203045705</v>
      </c>
      <c r="E22" s="39">
        <f t="shared" si="6"/>
        <v>6.6883248730964491</v>
      </c>
      <c r="F22" s="44">
        <f>0.00002*$H$17</f>
        <v>2.44E-8</v>
      </c>
      <c r="G22" s="4"/>
      <c r="H22" s="4"/>
      <c r="I22" s="4"/>
      <c r="J22" s="4"/>
      <c r="K22" s="4"/>
      <c r="L22" s="4"/>
      <c r="M22" s="4"/>
      <c r="N22" s="4"/>
      <c r="O22" s="1"/>
      <c r="P22" s="1"/>
      <c r="Q22" s="1"/>
      <c r="R22" s="1"/>
      <c r="S22" s="1"/>
      <c r="T22" s="1"/>
      <c r="U22" s="1"/>
      <c r="V22" s="1"/>
    </row>
  </sheetData>
  <mergeCells count="2">
    <mergeCell ref="E16:G16"/>
    <mergeCell ref="J17:L17"/>
  </mergeCells>
  <hyperlinks>
    <hyperlink ref="D1" r:id="rId1"/>
    <hyperlink ref="E16" r:id="rId2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timothée Chauviré</dc:creator>
  <cp:lastModifiedBy>timothée Chauviré</cp:lastModifiedBy>
  <dcterms:created xsi:type="dcterms:W3CDTF">2025-03-21T17:37:43Z</dcterms:created>
  <dcterms:modified xsi:type="dcterms:W3CDTF">2025-04-16T17:08:04Z</dcterms:modified>
</cp:coreProperties>
</file>