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uwic\Downloads\Repository\"/>
    </mc:Choice>
  </mc:AlternateContent>
  <xr:revisionPtr revIDLastSave="0" documentId="13_ncr:1_{E4DCBAB2-E432-4DB0-ACE5-126E7E9D84A4}" xr6:coauthVersionLast="47" xr6:coauthVersionMax="47" xr10:uidLastSave="{00000000-0000-0000-0000-000000000000}"/>
  <bookViews>
    <workbookView xWindow="-315" yWindow="2115" windowWidth="24225" windowHeight="13590" firstSheet="5" activeTab="6" xr2:uid="{00000000-000D-0000-FFFF-FFFF00000000}"/>
  </bookViews>
  <sheets>
    <sheet name="File Properties" sheetId="1" r:id="rId1"/>
    <sheet name="Quality Attributes Parameters" sheetId="3" r:id="rId2"/>
    <sheet name="TD-Obstacle Mapping" sheetId="11" r:id="rId3"/>
    <sheet name="TD - DoV Analysis" sheetId="14" r:id="rId4"/>
    <sheet name="TD-Scenario Mapping" sheetId="18" r:id="rId5"/>
    <sheet name="TD - Interest Calculation" sheetId="15" r:id="rId6"/>
    <sheet name="TD - TD score" sheetId="16" r:id="rId7"/>
    <sheet name="TD - Entropy Analysis" sheetId="19" r:id="rId8"/>
    <sheet name="Scenario - Description" sheetId="17" r:id="rId9"/>
    <sheet name="Scenario - Scenario Score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" i="19" l="1"/>
  <c r="AA17" i="19"/>
  <c r="X17" i="19"/>
  <c r="Y3" i="19" s="1"/>
  <c r="U17" i="19"/>
  <c r="R17" i="19"/>
  <c r="O17" i="19"/>
  <c r="P16" i="19" s="1"/>
  <c r="Q16" i="19" s="1"/>
  <c r="AE16" i="19"/>
  <c r="AF16" i="19" s="1"/>
  <c r="T16" i="19"/>
  <c r="S16" i="19"/>
  <c r="D16" i="19"/>
  <c r="C16" i="19"/>
  <c r="B16" i="19"/>
  <c r="AE15" i="19"/>
  <c r="AF15" i="19" s="1"/>
  <c r="AB15" i="19"/>
  <c r="AC15" i="19" s="1"/>
  <c r="Y15" i="19"/>
  <c r="Z15" i="19" s="1"/>
  <c r="S15" i="19"/>
  <c r="T15" i="19" s="1"/>
  <c r="P15" i="19"/>
  <c r="Q15" i="19" s="1"/>
  <c r="AE14" i="19"/>
  <c r="AF14" i="19" s="1"/>
  <c r="AB14" i="19"/>
  <c r="AC14" i="19" s="1"/>
  <c r="S14" i="19"/>
  <c r="T14" i="19" s="1"/>
  <c r="P14" i="19"/>
  <c r="Q14" i="19" s="1"/>
  <c r="AE13" i="19"/>
  <c r="AF13" i="19" s="1"/>
  <c r="AB13" i="19"/>
  <c r="AC13" i="19" s="1"/>
  <c r="Y13" i="19"/>
  <c r="Z13" i="19" s="1"/>
  <c r="V13" i="19"/>
  <c r="W13" i="19" s="1"/>
  <c r="S13" i="19"/>
  <c r="T13" i="19" s="1"/>
  <c r="P13" i="19"/>
  <c r="Q13" i="19" s="1"/>
  <c r="AE12" i="19"/>
  <c r="AF12" i="19" s="1"/>
  <c r="AB12" i="19"/>
  <c r="AC12" i="19" s="1"/>
  <c r="Y12" i="19"/>
  <c r="Z12" i="19" s="1"/>
  <c r="V12" i="19"/>
  <c r="W12" i="19" s="1"/>
  <c r="S12" i="19"/>
  <c r="T12" i="19" s="1"/>
  <c r="P12" i="19"/>
  <c r="Q12" i="19" s="1"/>
  <c r="AE11" i="19"/>
  <c r="AF11" i="19" s="1"/>
  <c r="AB11" i="19"/>
  <c r="AC11" i="19" s="1"/>
  <c r="Y11" i="19"/>
  <c r="Z11" i="19" s="1"/>
  <c r="V11" i="19"/>
  <c r="W11" i="19" s="1"/>
  <c r="S11" i="19"/>
  <c r="T11" i="19" s="1"/>
  <c r="P11" i="19"/>
  <c r="Q11" i="19" s="1"/>
  <c r="AE10" i="19"/>
  <c r="AF10" i="19" s="1"/>
  <c r="AB10" i="19"/>
  <c r="AC10" i="19" s="1"/>
  <c r="Y10" i="19"/>
  <c r="Z10" i="19" s="1"/>
  <c r="V10" i="19"/>
  <c r="W10" i="19" s="1"/>
  <c r="S10" i="19"/>
  <c r="T10" i="19" s="1"/>
  <c r="P10" i="19"/>
  <c r="Q10" i="19" s="1"/>
  <c r="AE9" i="19"/>
  <c r="AF9" i="19" s="1"/>
  <c r="AB9" i="19"/>
  <c r="AC9" i="19" s="1"/>
  <c r="Y9" i="19"/>
  <c r="Z9" i="19" s="1"/>
  <c r="V9" i="19"/>
  <c r="W9" i="19" s="1"/>
  <c r="S9" i="19"/>
  <c r="T9" i="19" s="1"/>
  <c r="P9" i="19"/>
  <c r="Q9" i="19" s="1"/>
  <c r="AE8" i="19"/>
  <c r="AF8" i="19" s="1"/>
  <c r="AB8" i="19"/>
  <c r="AC8" i="19" s="1"/>
  <c r="Y8" i="19"/>
  <c r="Z8" i="19" s="1"/>
  <c r="V8" i="19"/>
  <c r="W8" i="19" s="1"/>
  <c r="S8" i="19"/>
  <c r="T8" i="19" s="1"/>
  <c r="P8" i="19"/>
  <c r="Q8" i="19" s="1"/>
  <c r="AE7" i="19"/>
  <c r="AF7" i="19" s="1"/>
  <c r="V7" i="19"/>
  <c r="W7" i="19" s="1"/>
  <c r="S7" i="19"/>
  <c r="T7" i="19" s="1"/>
  <c r="P7" i="19"/>
  <c r="Q7" i="19" s="1"/>
  <c r="D7" i="19"/>
  <c r="C7" i="19"/>
  <c r="AE6" i="19"/>
  <c r="AF6" i="19" s="1"/>
  <c r="AB6" i="19"/>
  <c r="AC6" i="19" s="1"/>
  <c r="V6" i="19"/>
  <c r="W6" i="19" s="1"/>
  <c r="S6" i="19"/>
  <c r="T6" i="19" s="1"/>
  <c r="P6" i="19"/>
  <c r="Q6" i="19" s="1"/>
  <c r="AE5" i="19"/>
  <c r="AF5" i="19" s="1"/>
  <c r="AB5" i="19"/>
  <c r="V5" i="19"/>
  <c r="W5" i="19" s="1"/>
  <c r="S5" i="19"/>
  <c r="T5" i="19" s="1"/>
  <c r="P5" i="19"/>
  <c r="Q5" i="19" s="1"/>
  <c r="AE4" i="19"/>
  <c r="AF4" i="19" s="1"/>
  <c r="V4" i="19"/>
  <c r="W4" i="19" s="1"/>
  <c r="S4" i="19"/>
  <c r="T4" i="19" s="1"/>
  <c r="P4" i="19"/>
  <c r="D4" i="19"/>
  <c r="C4" i="19"/>
  <c r="B4" i="19"/>
  <c r="AF3" i="19"/>
  <c r="AE3" i="19"/>
  <c r="AE17" i="19" s="1"/>
  <c r="AC3" i="19"/>
  <c r="AB3" i="19"/>
  <c r="Z3" i="19"/>
  <c r="W3" i="19"/>
  <c r="W17" i="19" s="1"/>
  <c r="V3" i="19"/>
  <c r="T3" i="19"/>
  <c r="S3" i="19"/>
  <c r="Q3" i="19"/>
  <c r="P3" i="19"/>
  <c r="Q17" i="16"/>
  <c r="D16" i="16"/>
  <c r="C16" i="16"/>
  <c r="B16" i="16"/>
  <c r="D15" i="16"/>
  <c r="C15" i="16"/>
  <c r="B15" i="16"/>
  <c r="D14" i="16"/>
  <c r="C14" i="16"/>
  <c r="B14" i="16"/>
  <c r="D13" i="16"/>
  <c r="C13" i="16"/>
  <c r="S13" i="16" s="1"/>
  <c r="B13" i="16"/>
  <c r="D12" i="16"/>
  <c r="C12" i="16"/>
  <c r="B12" i="16"/>
  <c r="F12" i="16" s="1"/>
  <c r="D11" i="16"/>
  <c r="C11" i="16"/>
  <c r="B11" i="16"/>
  <c r="E10" i="16"/>
  <c r="D10" i="16"/>
  <c r="C10" i="16"/>
  <c r="B10" i="16"/>
  <c r="S10" i="16" s="1"/>
  <c r="D9" i="16"/>
  <c r="C9" i="16"/>
  <c r="S9" i="16" s="1"/>
  <c r="B9" i="16"/>
  <c r="D8" i="16"/>
  <c r="C8" i="16"/>
  <c r="S8" i="16" s="1"/>
  <c r="B8" i="16"/>
  <c r="D7" i="16"/>
  <c r="C7" i="16"/>
  <c r="B7" i="16"/>
  <c r="F7" i="16" s="1"/>
  <c r="D6" i="16"/>
  <c r="C6" i="16"/>
  <c r="B6" i="16"/>
  <c r="E5" i="16"/>
  <c r="D5" i="16"/>
  <c r="C5" i="16"/>
  <c r="B5" i="16"/>
  <c r="S5" i="16" s="1"/>
  <c r="D4" i="16"/>
  <c r="C4" i="16"/>
  <c r="B4" i="16"/>
  <c r="D3" i="16"/>
  <c r="C3" i="16"/>
  <c r="B3" i="16"/>
  <c r="P17" i="19" l="1"/>
  <c r="Q4" i="19"/>
  <c r="AC5" i="19"/>
  <c r="AC17" i="19" s="1"/>
  <c r="AB17" i="19"/>
  <c r="T17" i="19"/>
  <c r="Q17" i="19"/>
  <c r="S17" i="19"/>
  <c r="AF17" i="19"/>
  <c r="V17" i="19"/>
  <c r="Y5" i="19"/>
  <c r="Z5" i="19" s="1"/>
  <c r="Z17" i="19" s="1"/>
  <c r="Y6" i="19"/>
  <c r="Z6" i="19" s="1"/>
  <c r="Y14" i="19"/>
  <c r="Z14" i="19" s="1"/>
  <c r="F4" i="16"/>
  <c r="E14" i="16"/>
  <c r="F3" i="16"/>
  <c r="E6" i="16"/>
  <c r="E11" i="16"/>
  <c r="S12" i="16"/>
  <c r="F16" i="16"/>
  <c r="S4" i="16"/>
  <c r="S3" i="16"/>
  <c r="F9" i="16"/>
  <c r="S14" i="16"/>
  <c r="E15" i="16"/>
  <c r="E4" i="16"/>
  <c r="Q4" i="16" s="1"/>
  <c r="F8" i="16"/>
  <c r="F13" i="16"/>
  <c r="F11" i="16"/>
  <c r="F15" i="16"/>
  <c r="E3" i="16"/>
  <c r="F5" i="16"/>
  <c r="S6" i="16"/>
  <c r="S7" i="16"/>
  <c r="E9" i="16"/>
  <c r="F10" i="16"/>
  <c r="S11" i="16"/>
  <c r="E13" i="16"/>
  <c r="F14" i="16"/>
  <c r="S15" i="16"/>
  <c r="S16" i="16"/>
  <c r="F6" i="16"/>
  <c r="E7" i="16"/>
  <c r="Q7" i="16" s="1"/>
  <c r="E8" i="16"/>
  <c r="E12" i="16"/>
  <c r="E16" i="16"/>
  <c r="Q16" i="16" s="1"/>
  <c r="Y17" i="19" l="1"/>
  <c r="T12" i="16"/>
  <c r="G3" i="16"/>
  <c r="G13" i="16"/>
  <c r="G4" i="16"/>
  <c r="T7" i="16"/>
  <c r="G12" i="16"/>
  <c r="T16" i="16"/>
  <c r="T11" i="16"/>
  <c r="T6" i="16"/>
  <c r="G11" i="16"/>
  <c r="T10" i="16"/>
  <c r="T9" i="16"/>
  <c r="T14" i="16"/>
  <c r="T4" i="16"/>
  <c r="G14" i="16"/>
  <c r="G7" i="16"/>
  <c r="G6" i="16"/>
  <c r="G15" i="16"/>
  <c r="T3" i="16"/>
  <c r="T15" i="16"/>
  <c r="G10" i="16"/>
  <c r="G5" i="16"/>
  <c r="T13" i="16"/>
  <c r="T8" i="16"/>
  <c r="T5" i="16"/>
  <c r="G8" i="16"/>
  <c r="G9" i="16"/>
  <c r="G16" i="16"/>
  <c r="E16" i="15" l="1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F15" i="14"/>
  <c r="E15" i="14"/>
  <c r="D15" i="14"/>
  <c r="F14" i="14"/>
  <c r="E14" i="14"/>
  <c r="D14" i="14"/>
  <c r="F13" i="14"/>
  <c r="E13" i="14"/>
  <c r="D13" i="14"/>
  <c r="F12" i="14"/>
  <c r="E12" i="14"/>
  <c r="D12" i="14"/>
  <c r="F11" i="14"/>
  <c r="E11" i="14"/>
  <c r="D11" i="14"/>
  <c r="F10" i="14"/>
  <c r="E10" i="14"/>
  <c r="D10" i="14"/>
  <c r="F9" i="14"/>
  <c r="E9" i="14"/>
  <c r="D9" i="14"/>
  <c r="F8" i="14"/>
  <c r="E8" i="14"/>
  <c r="D8" i="14"/>
  <c r="F7" i="14"/>
  <c r="E7" i="14"/>
  <c r="D7" i="14"/>
  <c r="F6" i="14"/>
  <c r="E6" i="14"/>
  <c r="D6" i="14"/>
  <c r="F5" i="14"/>
  <c r="E5" i="14"/>
  <c r="D5" i="14"/>
  <c r="F4" i="14"/>
  <c r="E4" i="14"/>
  <c r="D4" i="14"/>
  <c r="F3" i="14"/>
  <c r="E3" i="14"/>
  <c r="D3" i="14"/>
  <c r="F2" i="14"/>
  <c r="E2" i="14"/>
  <c r="D2" i="14"/>
  <c r="N5" i="14" l="1"/>
  <c r="L7" i="14"/>
  <c r="N9" i="14"/>
  <c r="L5" i="14"/>
  <c r="M6" i="14"/>
  <c r="N7" i="14"/>
  <c r="L9" i="14"/>
  <c r="M10" i="14"/>
  <c r="N11" i="14"/>
  <c r="L13" i="14"/>
  <c r="N4" i="14"/>
  <c r="M7" i="14"/>
  <c r="M5" i="14"/>
  <c r="N6" i="14"/>
  <c r="L8" i="14"/>
  <c r="M9" i="14"/>
  <c r="N10" i="14"/>
  <c r="L12" i="14"/>
  <c r="M13" i="14"/>
  <c r="M8" i="14"/>
  <c r="L11" i="14"/>
  <c r="M12" i="14"/>
  <c r="N13" i="14"/>
  <c r="M4" i="14"/>
  <c r="L10" i="14"/>
  <c r="L6" i="14"/>
  <c r="N12" i="14"/>
  <c r="N8" i="14"/>
  <c r="L4" i="14"/>
  <c r="M11" i="14"/>
  <c r="L17" i="14"/>
  <c r="M17" i="14"/>
  <c r="N18" i="14"/>
  <c r="L20" i="14"/>
  <c r="M18" i="14"/>
  <c r="N17" i="14"/>
  <c r="L19" i="14"/>
  <c r="M20" i="14"/>
  <c r="N19" i="14"/>
  <c r="L18" i="14"/>
  <c r="M19" i="14"/>
  <c r="N20" i="14"/>
  <c r="F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AI14" i="5"/>
  <c r="AJ13" i="5"/>
  <c r="AK13" i="5" s="1"/>
  <c r="AH13" i="5"/>
  <c r="AG13" i="5"/>
  <c r="AJ12" i="5"/>
  <c r="AK12" i="5" s="1"/>
  <c r="AJ11" i="5"/>
  <c r="E5" i="5"/>
  <c r="C5" i="5"/>
  <c r="B5" i="5"/>
  <c r="E4" i="5"/>
  <c r="C4" i="5"/>
  <c r="B4" i="5"/>
  <c r="E3" i="5"/>
  <c r="C3" i="5"/>
  <c r="B3" i="5"/>
  <c r="C4" i="3"/>
  <c r="C3" i="3"/>
  <c r="C2" i="3"/>
  <c r="J4" i="16" l="1"/>
  <c r="J8" i="16"/>
  <c r="J12" i="16"/>
  <c r="J16" i="16"/>
  <c r="J5" i="16"/>
  <c r="J9" i="16"/>
  <c r="J13" i="16"/>
  <c r="J3" i="16"/>
  <c r="M3" i="16" s="1"/>
  <c r="J6" i="16"/>
  <c r="J10" i="16"/>
  <c r="J14" i="16"/>
  <c r="J7" i="16"/>
  <c r="J15" i="16"/>
  <c r="J11" i="16"/>
  <c r="L4" i="16"/>
  <c r="L8" i="16"/>
  <c r="L12" i="16"/>
  <c r="L16" i="16"/>
  <c r="L5" i="16"/>
  <c r="L9" i="16"/>
  <c r="L13" i="16"/>
  <c r="L3" i="16"/>
  <c r="L6" i="16"/>
  <c r="L10" i="16"/>
  <c r="L14" i="16"/>
  <c r="L11" i="16"/>
  <c r="L7" i="16"/>
  <c r="L15" i="16"/>
  <c r="K6" i="16"/>
  <c r="K10" i="16"/>
  <c r="K14" i="16"/>
  <c r="K7" i="16"/>
  <c r="K11" i="16"/>
  <c r="K15" i="16"/>
  <c r="K4" i="16"/>
  <c r="K8" i="16"/>
  <c r="K12" i="16"/>
  <c r="K16" i="16"/>
  <c r="K5" i="16"/>
  <c r="K9" i="16"/>
  <c r="K3" i="16"/>
  <c r="K13" i="16"/>
  <c r="N14" i="14"/>
  <c r="AJ14" i="5"/>
  <c r="AK11" i="5"/>
  <c r="L21" i="14"/>
  <c r="L22" i="14" s="1"/>
  <c r="L14" i="14"/>
  <c r="L15" i="14" s="1"/>
  <c r="M14" i="14"/>
  <c r="M15" i="14" s="1"/>
  <c r="M21" i="14"/>
  <c r="M22" i="14" s="1"/>
  <c r="N15" i="14"/>
  <c r="N21" i="14"/>
  <c r="N22" i="14" s="1"/>
  <c r="AK14" i="5"/>
  <c r="B6" i="5"/>
  <c r="D3" i="5"/>
  <c r="F3" i="5" s="1"/>
  <c r="G3" i="5" s="1"/>
  <c r="D4" i="5"/>
  <c r="F4" i="5" s="1"/>
  <c r="G4" i="5" s="1"/>
  <c r="D5" i="5"/>
  <c r="F5" i="5" s="1"/>
  <c r="G5" i="5" s="1"/>
  <c r="G17" i="11"/>
  <c r="M14" i="16" l="1"/>
  <c r="M13" i="16"/>
  <c r="M12" i="16"/>
  <c r="M11" i="16"/>
  <c r="M10" i="16"/>
  <c r="M9" i="16"/>
  <c r="M8" i="16"/>
  <c r="H8" i="16"/>
  <c r="H12" i="16"/>
  <c r="H9" i="16"/>
  <c r="H13" i="16"/>
  <c r="H5" i="16"/>
  <c r="H10" i="16"/>
  <c r="H14" i="16"/>
  <c r="H11" i="16"/>
  <c r="H15" i="16"/>
  <c r="H6" i="16"/>
  <c r="M15" i="16"/>
  <c r="M6" i="16"/>
  <c r="M5" i="16"/>
  <c r="H3" i="16"/>
  <c r="L24" i="14"/>
  <c r="L26" i="14" s="1"/>
  <c r="M24" i="14"/>
  <c r="M26" i="14" s="1"/>
  <c r="N24" i="14"/>
  <c r="N26" i="14" s="1"/>
  <c r="H4" i="5"/>
  <c r="H5" i="5"/>
  <c r="H3" i="5"/>
  <c r="O9" i="16" l="1"/>
  <c r="Q6" i="16"/>
  <c r="Q12" i="16"/>
  <c r="C12" i="19" s="1"/>
  <c r="I12" i="16"/>
  <c r="I14" i="16"/>
  <c r="I4" i="16"/>
  <c r="I16" i="16"/>
  <c r="I7" i="16"/>
  <c r="I3" i="16"/>
  <c r="I9" i="16"/>
  <c r="Q9" i="16"/>
  <c r="I13" i="16"/>
  <c r="O13" i="16"/>
  <c r="Q13" i="16"/>
  <c r="I5" i="16"/>
  <c r="I11" i="16"/>
  <c r="I15" i="16"/>
  <c r="I8" i="16"/>
  <c r="I6" i="16"/>
  <c r="I10" i="16"/>
  <c r="C9" i="19" l="1"/>
  <c r="B9" i="19"/>
  <c r="D9" i="19"/>
  <c r="C13" i="19"/>
  <c r="B13" i="19"/>
  <c r="D13" i="19"/>
  <c r="D6" i="19"/>
  <c r="C6" i="19"/>
  <c r="O6" i="16"/>
  <c r="N5" i="16"/>
  <c r="O5" i="16"/>
  <c r="Q5" i="16"/>
  <c r="C5" i="19" s="1"/>
  <c r="O8" i="16"/>
  <c r="Q8" i="16"/>
  <c r="D8" i="19" s="1"/>
  <c r="Q3" i="16"/>
  <c r="O3" i="16"/>
  <c r="O12" i="16"/>
  <c r="N13" i="16"/>
  <c r="D3" i="19" l="1"/>
  <c r="C3" i="19"/>
  <c r="B3" i="19"/>
  <c r="N9" i="16"/>
  <c r="N12" i="16"/>
  <c r="N3" i="16"/>
  <c r="N8" i="16"/>
  <c r="N6" i="16"/>
  <c r="N16" i="16"/>
  <c r="N4" i="16"/>
  <c r="N7" i="16"/>
  <c r="O10" i="16"/>
  <c r="N10" i="16"/>
  <c r="Q10" i="16"/>
  <c r="Q11" i="16"/>
  <c r="O11" i="16"/>
  <c r="N11" i="16"/>
  <c r="Q15" i="16"/>
  <c r="C15" i="19" s="1"/>
  <c r="N15" i="16"/>
  <c r="O15" i="16"/>
  <c r="O14" i="16"/>
  <c r="Q14" i="16"/>
  <c r="N14" i="16"/>
  <c r="P14" i="16" l="1"/>
  <c r="C14" i="19"/>
  <c r="B14" i="19"/>
  <c r="D14" i="19"/>
  <c r="F15" i="19"/>
  <c r="C10" i="19"/>
  <c r="B10" i="19"/>
  <c r="D10" i="19"/>
  <c r="G6" i="19" s="1"/>
  <c r="F3" i="19"/>
  <c r="F12" i="19"/>
  <c r="F5" i="19"/>
  <c r="R11" i="16"/>
  <c r="D11" i="19"/>
  <c r="F13" i="19"/>
  <c r="E3" i="19"/>
  <c r="E13" i="19"/>
  <c r="R14" i="16"/>
  <c r="R9" i="16"/>
  <c r="R7" i="16"/>
  <c r="P15" i="16"/>
  <c r="R12" i="16"/>
  <c r="P10" i="16"/>
  <c r="P4" i="16"/>
  <c r="P8" i="16"/>
  <c r="P7" i="16"/>
  <c r="P5" i="16"/>
  <c r="P3" i="16"/>
  <c r="P12" i="16"/>
  <c r="P11" i="16"/>
  <c r="R15" i="16"/>
  <c r="R10" i="16"/>
  <c r="R6" i="16"/>
  <c r="R5" i="16"/>
  <c r="R4" i="16"/>
  <c r="R3" i="16"/>
  <c r="R13" i="16"/>
  <c r="P13" i="16"/>
  <c r="P6" i="16"/>
  <c r="R16" i="16"/>
  <c r="R8" i="16"/>
  <c r="P16" i="16"/>
  <c r="P9" i="16"/>
  <c r="G11" i="19" l="1"/>
  <c r="G10" i="19"/>
  <c r="G13" i="19"/>
  <c r="G14" i="19"/>
  <c r="G9" i="19"/>
  <c r="E10" i="19"/>
  <c r="E9" i="19"/>
  <c r="E14" i="19"/>
  <c r="G3" i="19"/>
  <c r="G8" i="19"/>
  <c r="F10" i="19"/>
  <c r="F6" i="19"/>
  <c r="F14" i="19"/>
  <c r="F9" i="19"/>
  <c r="G17" i="19" l="1"/>
  <c r="L11" i="19" s="1"/>
  <c r="M11" i="19" s="1"/>
  <c r="L8" i="19"/>
  <c r="M8" i="19" s="1"/>
  <c r="E17" i="19"/>
  <c r="H13" i="19" s="1"/>
  <c r="I13" i="19" s="1"/>
  <c r="F17" i="19"/>
  <c r="L6" i="19"/>
  <c r="M6" i="19" s="1"/>
  <c r="L9" i="19" l="1"/>
  <c r="M9" i="19" s="1"/>
  <c r="H14" i="19"/>
  <c r="I14" i="19" s="1"/>
  <c r="J5" i="19"/>
  <c r="K5" i="19" s="1"/>
  <c r="J15" i="19"/>
  <c r="K15" i="19" s="1"/>
  <c r="J13" i="19"/>
  <c r="K13" i="19" s="1"/>
  <c r="J12" i="19"/>
  <c r="K12" i="19" s="1"/>
  <c r="H10" i="19"/>
  <c r="J10" i="19"/>
  <c r="K10" i="19" s="1"/>
  <c r="J9" i="19"/>
  <c r="K9" i="19" s="1"/>
  <c r="J3" i="19"/>
  <c r="H9" i="19"/>
  <c r="I9" i="19" s="1"/>
  <c r="J14" i="19"/>
  <c r="K14" i="19" s="1"/>
  <c r="L13" i="19"/>
  <c r="M13" i="19" s="1"/>
  <c r="J6" i="19"/>
  <c r="K6" i="19" s="1"/>
  <c r="L14" i="19"/>
  <c r="L10" i="19"/>
  <c r="L3" i="19"/>
  <c r="M3" i="19" s="1"/>
  <c r="H3" i="19"/>
  <c r="K3" i="19" l="1"/>
  <c r="K17" i="19" s="1"/>
  <c r="J17" i="19"/>
  <c r="M10" i="19"/>
  <c r="M17" i="19" s="1"/>
  <c r="H17" i="19"/>
  <c r="I3" i="19"/>
  <c r="M14" i="19"/>
  <c r="I10" i="19"/>
  <c r="I17" i="19" l="1"/>
  <c r="K26" i="19"/>
  <c r="K23" i="19"/>
  <c r="K25" i="19"/>
  <c r="K27" i="19"/>
  <c r="K28" i="19"/>
  <c r="K24" i="19"/>
  <c r="I26" i="19"/>
  <c r="I24" i="19"/>
  <c r="I25" i="19"/>
  <c r="I28" i="19"/>
  <c r="I27" i="19"/>
  <c r="J26" i="19"/>
  <c r="J24" i="19"/>
  <c r="J23" i="19"/>
  <c r="J28" i="19"/>
  <c r="J27" i="19"/>
  <c r="J25" i="19"/>
  <c r="I23" i="19" l="1"/>
  <c r="I18" i="19"/>
  <c r="L27" i="19" l="1"/>
  <c r="L24" i="19"/>
  <c r="L28" i="19"/>
  <c r="L23" i="19"/>
  <c r="L25" i="19"/>
  <c r="L26" i="19"/>
</calcChain>
</file>

<file path=xl/sharedStrings.xml><?xml version="1.0" encoding="utf-8"?>
<sst xmlns="http://schemas.openxmlformats.org/spreadsheetml/2006/main" count="369" uniqueCount="187">
  <si>
    <t>Filename</t>
  </si>
  <si>
    <t>Weight</t>
  </si>
  <si>
    <t>Maintainbillity Rating</t>
  </si>
  <si>
    <t>Evolvability Potential</t>
  </si>
  <si>
    <t>Criticality</t>
  </si>
  <si>
    <t>Likert</t>
  </si>
  <si>
    <t>Scale</t>
  </si>
  <si>
    <t>Min</t>
  </si>
  <si>
    <t>Max</t>
  </si>
  <si>
    <t>E(Evolability Potential)</t>
  </si>
  <si>
    <t>E(Criticality)</t>
  </si>
  <si>
    <t>OrderStatus.cs</t>
  </si>
  <si>
    <t>C</t>
  </si>
  <si>
    <t>CatalogContextSeed.cs</t>
  </si>
  <si>
    <t>A</t>
  </si>
  <si>
    <t>WebhooksDomainExceptions.cs</t>
  </si>
  <si>
    <t>B</t>
  </si>
  <si>
    <t>CardType.cs</t>
  </si>
  <si>
    <t>Locations.API/Program.cs</t>
  </si>
  <si>
    <t>Marketing.API</t>
  </si>
  <si>
    <t>ID</t>
  </si>
  <si>
    <t>Normalised Weight</t>
  </si>
  <si>
    <t>Maintainablity</t>
  </si>
  <si>
    <t>Evovability</t>
  </si>
  <si>
    <t>Secuity</t>
  </si>
  <si>
    <t>Scenario</t>
  </si>
  <si>
    <t>Description</t>
  </si>
  <si>
    <t>Prob</t>
  </si>
  <si>
    <t>Manifested Debts</t>
  </si>
  <si>
    <t>sum(TD_princ^ALL)*</t>
  </si>
  <si>
    <t>Accumulated Interest*</t>
  </si>
  <si>
    <t>Scenario Score</t>
  </si>
  <si>
    <t>Raw</t>
  </si>
  <si>
    <t>Normalised</t>
  </si>
  <si>
    <t>E(Pr)</t>
  </si>
  <si>
    <t>Maintainability</t>
  </si>
  <si>
    <t>Evolvability</t>
  </si>
  <si>
    <t>Security</t>
  </si>
  <si>
    <t>Weighted Average</t>
  </si>
  <si>
    <t>Ranking</t>
  </si>
  <si>
    <t>Casual</t>
  </si>
  <si>
    <t>TD1</t>
  </si>
  <si>
    <t>TD7</t>
  </si>
  <si>
    <t>TD8</t>
  </si>
  <si>
    <t>TD11</t>
  </si>
  <si>
    <t>TD12</t>
  </si>
  <si>
    <t>TD14</t>
  </si>
  <si>
    <t>Seasonal</t>
  </si>
  <si>
    <t>TD2</t>
  </si>
  <si>
    <t>TD3</t>
  </si>
  <si>
    <t>TD4</t>
  </si>
  <si>
    <t>TD10</t>
  </si>
  <si>
    <t>TD13</t>
  </si>
  <si>
    <t>Nighttime</t>
  </si>
  <si>
    <t>TD5</t>
  </si>
  <si>
    <t>TD6</t>
  </si>
  <si>
    <t>TD9</t>
  </si>
  <si>
    <t>Total TD Score (0.7 On Imp, 0.1 on CMS, CPS and Priority)</t>
  </si>
  <si>
    <t>S1-Raw (Imp*CMS*CPS_Pri)</t>
  </si>
  <si>
    <t>S2-Raw (Imp*CMS*CPS_Pri)</t>
  </si>
  <si>
    <t>S3-Raw (Imp*CMS*CPS_Pri)</t>
  </si>
  <si>
    <t>S1 Ranked</t>
  </si>
  <si>
    <t>S2 Ranked</t>
  </si>
  <si>
    <t>S3 Ranked</t>
  </si>
  <si>
    <t>S1 Pr</t>
  </si>
  <si>
    <t>-1*(S1 Pr * log^2 S1 Pr)</t>
  </si>
  <si>
    <t>S2 Pr</t>
  </si>
  <si>
    <t>-1*(S2 Pr * log^2 S2 Pr)</t>
  </si>
  <si>
    <t>S3 Pr</t>
  </si>
  <si>
    <t>-1*(S3 Pr * log^2 S3 Pr)</t>
  </si>
  <si>
    <t>n14 Ranked</t>
  </si>
  <si>
    <t>n14 Pr</t>
  </si>
  <si>
    <t>n14 Unranked</t>
  </si>
  <si>
    <t>n14 Unranked Pr</t>
  </si>
  <si>
    <t>n7 Unranked</t>
  </si>
  <si>
    <t>n7 Unranked Pr</t>
  </si>
  <si>
    <t>Schmid's Ranked (Original)</t>
  </si>
  <si>
    <t>Schmid's Ranked  (Original) Pr</t>
  </si>
  <si>
    <t>Schmid's Ranked based on Biggest Difference</t>
  </si>
  <si>
    <t>Schmid's Ranked Pr based on Biggest Difference</t>
  </si>
  <si>
    <t>Interest-based Ranked</t>
  </si>
  <si>
    <t>Interest-based Ranked Pr</t>
  </si>
  <si>
    <t>Coin</t>
  </si>
  <si>
    <t>Coin Pr</t>
  </si>
  <si>
    <t>Schmid's (Original)</t>
  </si>
  <si>
    <t>Schmid's (Biggest Diff)</t>
  </si>
  <si>
    <t>Interest-Based's</t>
  </si>
  <si>
    <t>Worst n14 Unranked</t>
  </si>
  <si>
    <t>Interest</t>
  </si>
  <si>
    <t>Average</t>
  </si>
  <si>
    <t>S1</t>
  </si>
  <si>
    <t>S2</t>
  </si>
  <si>
    <t>S3</t>
  </si>
  <si>
    <t>Variable visibility assignment issues</t>
  </si>
  <si>
    <t>N/A</t>
  </si>
  <si>
    <t>Uncovered by test cases</t>
  </si>
  <si>
    <t>Workload sensitive</t>
  </si>
  <si>
    <t>Unnecessary Libraries</t>
  </si>
  <si>
    <t>Libraries are well-tested</t>
  </si>
  <si>
    <t>Unstandardised Coding Pattern</t>
  </si>
  <si>
    <t>Hardcoded Paths</t>
  </si>
  <si>
    <t>Source</t>
  </si>
  <si>
    <t>Efforts (min)</t>
  </si>
  <si>
    <t>The related system goal</t>
  </si>
  <si>
    <t>Probability</t>
  </si>
  <si>
    <t>Impact Score (0.5 Weight both on Pr and Intr)</t>
  </si>
  <si>
    <t>CMS*</t>
  </si>
  <si>
    <t>CPS</t>
  </si>
  <si>
    <t>Interest-based</t>
  </si>
  <si>
    <t>E(Weight)</t>
  </si>
  <si>
    <t>Normalised E(Weight)</t>
  </si>
  <si>
    <t>E(Probability)</t>
  </si>
  <si>
    <t>Ranked</t>
  </si>
  <si>
    <t>Scenario 1</t>
  </si>
  <si>
    <t>Scenario 2</t>
  </si>
  <si>
    <t>Scenario 3</t>
  </si>
  <si>
    <t>Raw (Imp*CMS*CPS_Pri)</t>
  </si>
  <si>
    <t>Total Ranked</t>
  </si>
  <si>
    <t>Raw_Alt (Imp*CMS*CPS_Pri)</t>
  </si>
  <si>
    <t>Total Ranked_Alt</t>
  </si>
  <si>
    <t>Avoid [System Exposure]</t>
  </si>
  <si>
    <t>Exposed to all cases but exposed information is irreusable</t>
  </si>
  <si>
    <t>All cases</t>
  </si>
  <si>
    <t>Avoid [Undiscovered Exploit]</t>
  </si>
  <si>
    <t>Seasonal (Workload Sensitive)</t>
  </si>
  <si>
    <t>Unused variable</t>
  </si>
  <si>
    <t>Exception thrown in user code</t>
  </si>
  <si>
    <t>Stack trace contains useful information, Workload &amp; Downtime sensitive</t>
  </si>
  <si>
    <t>Seasonal &amp; Night time (Workload &amp; Downtime sensitive)</t>
  </si>
  <si>
    <t>The impact from exploit is self-contained</t>
  </si>
  <si>
    <t>Night time (Downtime sensitive)</t>
  </si>
  <si>
    <t>Non-standard coding pattern can be error-prone and thus easily exploitable</t>
  </si>
  <si>
    <t>Standard information and unique to the class thus the impact of exploit is minimal</t>
  </si>
  <si>
    <t>Libraries are not well-tested and not monitored by developers during Downtime</t>
  </si>
  <si>
    <t>Workload sensitive, its log can expose information of both internal and external servers/microservices</t>
  </si>
  <si>
    <t>Not monitored by developers during Downtime</t>
  </si>
  <si>
    <t>One-way communication, hard to expose</t>
  </si>
  <si>
    <t>Although workload-sensitive; one-way communication is hard to exposed</t>
  </si>
  <si>
    <t>One-way communication, hard to exploit</t>
  </si>
  <si>
    <t>Usual &amp; Seasonal (Business Rule: No Marketing during Night-time)</t>
  </si>
  <si>
    <t>LG1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</si>
  <si>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</si>
  <si>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</si>
  <si>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</si>
  <si>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</si>
  <si>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</si>
  <si>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</si>
  <si>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</si>
  <si>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</si>
  <si>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</si>
  <si>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</si>
  <si>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LG2</t>
  </si>
  <si>
    <t>O11</t>
  </si>
  <si>
    <t>O12</t>
  </si>
  <si>
    <t>O13</t>
  </si>
  <si>
    <t>O14</t>
  </si>
  <si>
    <t>RDS</t>
  </si>
  <si>
    <t>Max(Weight)</t>
  </si>
  <si>
    <t>Min(Weight)</t>
  </si>
  <si>
    <t>Mapped TD</t>
  </si>
  <si>
    <t>Mapped Obstacles</t>
  </si>
  <si>
    <t>Goals</t>
  </si>
  <si>
    <t>LG1+2</t>
  </si>
  <si>
    <t>!LG1|O1</t>
  </si>
  <si>
    <t>!LG1|O2</t>
  </si>
  <si>
    <t>!LG1|O3</t>
  </si>
  <si>
    <t>!LG1|O4</t>
  </si>
  <si>
    <t>!LG1|O5</t>
  </si>
  <si>
    <t>!LG1|O6</t>
  </si>
  <si>
    <t>!LG1|O7</t>
  </si>
  <si>
    <t>!LG1|O8</t>
  </si>
  <si>
    <t>!LG1|O9</t>
  </si>
  <si>
    <t>!LG1|O10</t>
  </si>
  <si>
    <t>!LG1|O1+O2+…+O10</t>
  </si>
  <si>
    <t>!LG2|O11</t>
  </si>
  <si>
    <t>!LG2|O12</t>
  </si>
  <si>
    <t>!LG2|O13</t>
  </si>
  <si>
    <t>!LG2|O14</t>
  </si>
  <si>
    <t>!LG2|O11+O12+…+O14</t>
  </si>
  <si>
    <t>Degree of Violation Calculation</t>
  </si>
  <si>
    <t>Comparison with other rankings</t>
  </si>
  <si>
    <t xml:space="preserve">Percentage Difference </t>
  </si>
  <si>
    <t>with Prob. Model on Average</t>
  </si>
  <si>
    <t>System Quality Attributes</t>
  </si>
  <si>
    <t>Degree of Violation (DoV)</t>
  </si>
  <si>
    <t>Note: The effort of TD2, TD5, TD14 are unquatifable by COTS, hence errors in J,K,L Columns</t>
  </si>
  <si>
    <t>Note: E(...) is estimated by Monte Carlo Simulation (Monte Carlo Simulator.xlsx)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</si>
</sst>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  <scheme val="minor"/>
    </font>
    <font>
      <sz val="11"/>
      <name val="Calibri"/>
      <family val="2"/>
    </font>
    <font>
      <b/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 vertical="center"/>
    </xf>
    <xf numFmtId="0" fontId="2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5" xfId="0" applyFont="1" applyBorder="1" applyAlignment="1"/>
    <xf numFmtId="0" fontId="1" fillId="0" borderId="4" xfId="0" applyFont="1" applyBorder="1" applyAlignment="1"/>
    <xf numFmtId="0" fontId="1" fillId="0" borderId="0" xfId="0" applyFont="1" applyBorder="1"/>
    <xf numFmtId="0" fontId="1" fillId="0" borderId="5" xfId="0" applyFont="1" applyBorder="1"/>
    <xf numFmtId="0" fontId="3" fillId="0" borderId="4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2" fillId="0" borderId="6" xfId="0" applyFont="1" applyBorder="1" applyAlignment="1"/>
    <xf numFmtId="0" fontId="0" fillId="0" borderId="7" xfId="0" applyFont="1" applyBorder="1" applyAlignment="1"/>
    <xf numFmtId="0" fontId="4" fillId="0" borderId="7" xfId="0" applyFont="1" applyBorder="1"/>
    <xf numFmtId="0" fontId="4" fillId="0" borderId="8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/>
    <xf numFmtId="0" fontId="5" fillId="0" borderId="0" xfId="0" applyFont="1"/>
    <xf numFmtId="0" fontId="8" fillId="0" borderId="0" xfId="0" applyFont="1"/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0" xfId="0" applyFont="1" applyBorder="1" applyAlignment="1"/>
    <xf numFmtId="0" fontId="6" fillId="0" borderId="5" xfId="0" applyFont="1" applyBorder="1" applyAlignment="1"/>
    <xf numFmtId="0" fontId="6" fillId="0" borderId="0" xfId="0" applyFont="1" applyBorder="1"/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7" xfId="0" applyFont="1" applyBorder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"/>
  <sheetViews>
    <sheetView workbookViewId="0">
      <selection activeCell="D9" sqref="D9"/>
    </sheetView>
  </sheetViews>
  <sheetFormatPr defaultColWidth="12.7109375" defaultRowHeight="15.75" customHeight="1" x14ac:dyDescent="0.2"/>
  <cols>
    <col min="1" max="1" width="25.85546875" customWidth="1"/>
    <col min="7" max="7" width="20" customWidth="1"/>
  </cols>
  <sheetData>
    <row r="1" spans="1:10" ht="15.75" customHeight="1" x14ac:dyDescent="0.2">
      <c r="A1" s="52" t="s">
        <v>0</v>
      </c>
      <c r="B1" s="52" t="s">
        <v>1</v>
      </c>
      <c r="C1" s="1" t="s">
        <v>2</v>
      </c>
      <c r="D1" s="1"/>
      <c r="E1" s="54" t="s">
        <v>3</v>
      </c>
      <c r="F1" s="53"/>
      <c r="G1" s="53"/>
      <c r="H1" s="52" t="s">
        <v>4</v>
      </c>
      <c r="I1" s="53"/>
      <c r="J1" s="53"/>
    </row>
    <row r="2" spans="1:10" ht="15.75" customHeight="1" x14ac:dyDescent="0.2">
      <c r="A2" s="53"/>
      <c r="B2" s="53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10</v>
      </c>
    </row>
    <row r="3" spans="1:10" ht="15.75" customHeight="1" x14ac:dyDescent="0.2">
      <c r="A3" s="3" t="s">
        <v>11</v>
      </c>
      <c r="B3" s="1">
        <v>0.2</v>
      </c>
      <c r="C3" s="1" t="s">
        <v>12</v>
      </c>
      <c r="D3" s="1">
        <v>0.6</v>
      </c>
      <c r="E3" s="1">
        <v>0.1</v>
      </c>
      <c r="F3" s="1">
        <v>0.3</v>
      </c>
      <c r="G3" s="1">
        <v>0.16300000000000001</v>
      </c>
      <c r="H3" s="1">
        <v>0.75</v>
      </c>
      <c r="I3" s="1">
        <v>0.8</v>
      </c>
      <c r="J3" s="1">
        <v>0.77400000000000002</v>
      </c>
    </row>
    <row r="4" spans="1:10" ht="15.75" customHeight="1" x14ac:dyDescent="0.2">
      <c r="A4" s="3" t="s">
        <v>13</v>
      </c>
      <c r="B4" s="1">
        <v>0.1</v>
      </c>
      <c r="C4" s="1" t="s">
        <v>14</v>
      </c>
      <c r="D4" s="1">
        <v>0.2</v>
      </c>
      <c r="E4" s="1">
        <v>0.2</v>
      </c>
      <c r="F4" s="1">
        <v>0.4</v>
      </c>
      <c r="G4" s="1">
        <v>0.316</v>
      </c>
      <c r="H4" s="1">
        <v>0.2</v>
      </c>
      <c r="I4" s="1">
        <v>0.3</v>
      </c>
      <c r="J4" s="1">
        <v>0.252</v>
      </c>
    </row>
    <row r="5" spans="1:10" ht="15.75" customHeight="1" x14ac:dyDescent="0.2">
      <c r="A5" s="3" t="s">
        <v>15</v>
      </c>
      <c r="B5" s="1">
        <v>0.3</v>
      </c>
      <c r="C5" s="1" t="s">
        <v>16</v>
      </c>
      <c r="D5" s="1">
        <v>0.4</v>
      </c>
      <c r="E5" s="1">
        <v>0.75</v>
      </c>
      <c r="F5" s="1">
        <v>0.8</v>
      </c>
      <c r="G5" s="1">
        <v>0.77300000000000002</v>
      </c>
      <c r="H5" s="1">
        <v>0.7</v>
      </c>
      <c r="I5" s="1">
        <v>0.8</v>
      </c>
      <c r="J5" s="1">
        <v>0.73399999999999999</v>
      </c>
    </row>
    <row r="6" spans="1:10" ht="15.75" customHeight="1" x14ac:dyDescent="0.2">
      <c r="A6" s="3" t="s">
        <v>17</v>
      </c>
      <c r="B6" s="1">
        <v>0.2</v>
      </c>
      <c r="C6" s="1" t="s">
        <v>14</v>
      </c>
      <c r="D6" s="1">
        <v>0.2</v>
      </c>
      <c r="E6" s="1">
        <v>0.05</v>
      </c>
      <c r="F6" s="1">
        <v>0.1</v>
      </c>
      <c r="G6" s="1">
        <v>7.3999999999999996E-2</v>
      </c>
      <c r="H6" s="1">
        <v>0.6</v>
      </c>
      <c r="I6" s="1">
        <v>0.4</v>
      </c>
      <c r="J6" s="1">
        <v>0.29199999999999998</v>
      </c>
    </row>
    <row r="7" spans="1:10" ht="15.75" customHeight="1" x14ac:dyDescent="0.2">
      <c r="A7" s="3" t="s">
        <v>18</v>
      </c>
      <c r="B7" s="1">
        <v>0.1</v>
      </c>
      <c r="C7" s="1" t="s">
        <v>14</v>
      </c>
      <c r="D7" s="1">
        <v>0.2</v>
      </c>
      <c r="E7" s="1">
        <v>0.1</v>
      </c>
      <c r="F7" s="1">
        <v>0.25</v>
      </c>
      <c r="G7" s="1">
        <v>0.18</v>
      </c>
      <c r="H7" s="1">
        <v>0.5</v>
      </c>
      <c r="I7" s="1">
        <v>0.7</v>
      </c>
      <c r="J7" s="1">
        <v>0.61599999999999999</v>
      </c>
    </row>
    <row r="8" spans="1:10" ht="15.75" customHeight="1" x14ac:dyDescent="0.2">
      <c r="A8" s="3" t="s">
        <v>19</v>
      </c>
      <c r="B8" s="1">
        <v>0.1</v>
      </c>
      <c r="C8" s="1" t="s">
        <v>14</v>
      </c>
      <c r="D8" s="1">
        <v>0.2</v>
      </c>
      <c r="E8" s="1">
        <v>0.4</v>
      </c>
      <c r="F8" s="1">
        <v>0.6</v>
      </c>
      <c r="G8" s="1">
        <v>0.51400000000000001</v>
      </c>
      <c r="H8" s="1">
        <v>0.1</v>
      </c>
      <c r="I8" s="1">
        <v>0.2</v>
      </c>
      <c r="J8" s="1">
        <v>0.154</v>
      </c>
    </row>
    <row r="10" spans="1:10" ht="15.75" customHeight="1" x14ac:dyDescent="0.2">
      <c r="A10" s="12" t="s">
        <v>186</v>
      </c>
    </row>
  </sheetData>
  <mergeCells count="4">
    <mergeCell ref="A1:A2"/>
    <mergeCell ref="B1:B2"/>
    <mergeCell ref="E1:G1"/>
    <mergeCell ref="H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K26"/>
  <sheetViews>
    <sheetView workbookViewId="0">
      <selection activeCell="H12" sqref="H12"/>
    </sheetView>
  </sheetViews>
  <sheetFormatPr defaultColWidth="12.7109375" defaultRowHeight="15.75" customHeight="1" x14ac:dyDescent="0.2"/>
  <cols>
    <col min="8" max="8" width="22.140625" customWidth="1"/>
    <col min="22" max="22" width="18.140625" customWidth="1"/>
    <col min="24" max="24" width="16.140625" customWidth="1"/>
  </cols>
  <sheetData>
    <row r="1" spans="1:37" ht="15" customHeight="1" x14ac:dyDescent="0.25">
      <c r="A1" s="59" t="s">
        <v>25</v>
      </c>
      <c r="B1" s="52" t="s">
        <v>29</v>
      </c>
      <c r="C1" s="52" t="s">
        <v>30</v>
      </c>
      <c r="D1" s="53"/>
      <c r="E1" s="53"/>
      <c r="F1" s="53"/>
      <c r="G1" s="52" t="s">
        <v>31</v>
      </c>
      <c r="H1" s="53"/>
      <c r="I1" s="11"/>
      <c r="J1" s="11"/>
      <c r="K1" s="11"/>
      <c r="L1" s="11"/>
      <c r="AA1" s="1"/>
    </row>
    <row r="2" spans="1:37" ht="15" customHeight="1" x14ac:dyDescent="0.25">
      <c r="A2" s="53"/>
      <c r="B2" s="53"/>
      <c r="C2" s="1" t="s">
        <v>35</v>
      </c>
      <c r="D2" s="1" t="s">
        <v>36</v>
      </c>
      <c r="E2" s="1" t="s">
        <v>37</v>
      </c>
      <c r="F2" s="1" t="s">
        <v>38</v>
      </c>
      <c r="G2" s="1" t="s">
        <v>32</v>
      </c>
      <c r="H2" s="1" t="s">
        <v>39</v>
      </c>
      <c r="I2" s="11"/>
      <c r="J2" s="11"/>
      <c r="K2" s="11"/>
      <c r="L2" s="11"/>
    </row>
    <row r="3" spans="1:37" ht="15" x14ac:dyDescent="0.25">
      <c r="A3" s="5">
        <v>1</v>
      </c>
      <c r="B3" s="4">
        <f>SUM('TD-Obstacle Mapping'!H3,'TD-Obstacle Mapping'!H9,'TD-Obstacle Mapping'!H10,'TD-Obstacle Mapping'!H13,'TD-Obstacle Mapping'!H14)</f>
        <v>310</v>
      </c>
      <c r="C3" s="4">
        <f>(SUM('TD - Interest Calculation'!B3,'TD - Interest Calculation'!B9,'TD - Interest Calculation'!B10,'TD - Interest Calculation'!B13,'TD - Interest Calculation'!B14))/((SUM('TD - Interest Calculation'!B3:'TD - Interest Calculation'!B16))-('TD - Interest Calculation'!B4+'TD - Interest Calculation'!B7+'TD - Interest Calculation'!B16))</f>
        <v>0.59259259259259256</v>
      </c>
      <c r="D3" s="4">
        <f>(SUM('TD - Interest Calculation'!C3,'TD - Interest Calculation'!C9,'TD - Interest Calculation'!C10,'TD - Interest Calculation'!C13,'TD - Interest Calculation'!C14))/((SUM('TD - Interest Calculation'!C3:'TD - Interest Calculation'!C16))-('TD - Interest Calculation'!C4+'TD - Interest Calculation'!C7+'TD - Interest Calculation'!C16))</f>
        <v>0.47688730853391681</v>
      </c>
      <c r="E3" s="4">
        <f>(SUM('TD - Interest Calculation'!D3,'TD - Interest Calculation'!D9,'TD - Interest Calculation'!D10,'TD - Interest Calculation'!D13,'TD - Interest Calculation'!D14))/((SUM('TD - Interest Calculation'!D3:'TD - Interest Calculation'!D16))-('TD - Interest Calculation'!D4+'TD - Interest Calculation'!D7+'TD - Interest Calculation'!D16))</f>
        <v>0.55502392344497575</v>
      </c>
      <c r="F3" s="4">
        <f>(C3*'Quality Attributes Parameters'!$C$2)+(D3*'Quality Attributes Parameters'!$C$3)+(E3*'Quality Attributes Parameters'!$C$4)</f>
        <v>0.53523982999922559</v>
      </c>
      <c r="G3" s="4">
        <f>(F3*0.4)+('Scenario - Description'!$G3*0.5)+('Scenario - Description'!D3*0.1)</f>
        <v>0.62342926529969023</v>
      </c>
      <c r="H3" s="4">
        <f>RANK(G3,$G$3:$G$6)</f>
        <v>1</v>
      </c>
      <c r="I3" s="11"/>
      <c r="J3" s="11"/>
      <c r="K3" s="11"/>
      <c r="L3" s="11"/>
    </row>
    <row r="4" spans="1:37" ht="15" x14ac:dyDescent="0.25">
      <c r="A4" s="5">
        <v>2</v>
      </c>
      <c r="B4" s="4">
        <f>SUM('TD-Obstacle Mapping'!H3,'TD-Obstacle Mapping'!H5,'TD-Obstacle Mapping'!H6,,'TD-Obstacle Mapping'!H9,,'TD-Obstacle Mapping'!H10,'TD-Obstacle Mapping'!H12,'TD-Obstacle Mapping'!H13,'TD-Obstacle Mapping'!H14,'TD-Obstacle Mapping'!H15)</f>
        <v>680</v>
      </c>
      <c r="C4" s="4">
        <f>(SUM('TD - Interest Calculation'!B3,'TD - Interest Calculation'!B5,'TD - Interest Calculation'!B6,'TD - Interest Calculation'!B9,'TD - Interest Calculation'!B10,'TD - Interest Calculation'!B12,'TD - Interest Calculation'!B13,'TD - Interest Calculation'!B14,'TD - Interest Calculation'!B15))/((SUM('TD - Interest Calculation'!B3:'TD - Interest Calculation'!B16))-('TD - Interest Calculation'!B4+'TD - Interest Calculation'!B7+'TD - Interest Calculation'!B16))</f>
        <v>0.74074074074074081</v>
      </c>
      <c r="D4" s="4">
        <f>(SUM('TD - Interest Calculation'!C3,'TD - Interest Calculation'!C5,'TD - Interest Calculation'!C6,'TD - Interest Calculation'!C9,'TD - Interest Calculation'!C10,'TD - Interest Calculation'!C12,'TD - Interest Calculation'!C13,'TD - Interest Calculation'!C14,'TD - Interest Calculation'!C15))/((SUM('TD - Interest Calculation'!C3:'TD - Interest Calculation'!C16))-('TD - Interest Calculation'!C4+'TD - Interest Calculation'!C7+'TD - Interest Calculation'!C16))</f>
        <v>0.65823304157549234</v>
      </c>
      <c r="E4" s="4">
        <f>(SUM('TD - Interest Calculation'!D3,'TD - Interest Calculation'!D5,'TD - Interest Calculation'!D6,'TD - Interest Calculation'!D9,'TD - Interest Calculation'!D10,'TD - Interest Calculation'!D12,'TD - Interest Calculation'!D13,'TD - Interest Calculation'!D14,'TD - Interest Calculation'!D15))/((SUM('TD - Interest Calculation'!D3:'TD - Interest Calculation'!D16))-('TD - Interest Calculation'!D4+'TD - Interest Calculation'!D7+'TD - Interest Calculation'!D16))</f>
        <v>0.69356241844280087</v>
      </c>
      <c r="F4" s="4">
        <f>(C4*'Quality Attributes Parameters'!$C$2)+(D4*'Quality Attributes Parameters'!$C$3)+(E4*'Quality Attributes Parameters'!$C$4)</f>
        <v>0.68964901320335459</v>
      </c>
      <c r="G4" s="6">
        <f>(F4*0.4)+('Scenario - Description'!$G4*0.5)+('Scenario - Description'!D4*0.1)</f>
        <v>0.47635960528134186</v>
      </c>
      <c r="H4" s="4">
        <f>RANK(G4,$G$3:$G$6)</f>
        <v>2</v>
      </c>
      <c r="I4" s="11"/>
      <c r="J4" s="11"/>
      <c r="K4" s="11"/>
      <c r="L4" s="11"/>
    </row>
    <row r="5" spans="1:37" ht="15" x14ac:dyDescent="0.25">
      <c r="A5" s="5">
        <v>3</v>
      </c>
      <c r="B5" s="4">
        <f>SUM('TD-Obstacle Mapping'!H3,'TD-Obstacle Mapping'!H6,'TD-Obstacle Mapping'!H8,'TD-Obstacle Mapping'!H9,'TD-Obstacle Mapping'!H10,'TD-Obstacle Mapping'!H11,'TD-Obstacle Mapping'!H13,'TD-Obstacle Mapping'!H14)</f>
        <v>584</v>
      </c>
      <c r="C5" s="4">
        <f>(SUM('TD - Interest Calculation'!B5,'TD - Interest Calculation'!B11,'TD - Interest Calculation'!B12,'TD - Interest Calculation'!B15,'TD - Interest Calculation'!B16))/((SUM('TD - Interest Calculation'!B3:'TD - Interest Calculation'!B16))-('TD - Interest Calculation'!B4+'TD - Interest Calculation'!B7+'TD - Interest Calculation'!B16))</f>
        <v>0.18518518518518517</v>
      </c>
      <c r="D5" s="4">
        <f>(SUM('TD - Interest Calculation'!C5,'TD - Interest Calculation'!C11,'TD - Interest Calculation'!C12,'TD - Interest Calculation'!C15,'TD - Interest Calculation'!C16))/((SUM('TD - Interest Calculation'!C3:'TD - Interest Calculation'!C16))-('TD - Interest Calculation'!C4+'TD - Interest Calculation'!C7+'TD - Interest Calculation'!C16))</f>
        <v>0.23304157549234134</v>
      </c>
      <c r="E5" s="4">
        <f>(SUM('TD - Interest Calculation'!D5,'TD - Interest Calculation'!D11,'TD - Interest Calculation'!D12,'TD - Interest Calculation'!D15,'TD - Interest Calculation'!D16))/((SUM('TD - Interest Calculation'!D3:'TD - Interest Calculation'!D16))-('TD - Interest Calculation'!D4+'TD - Interest Calculation'!D7+'TD - Interest Calculation'!D16))</f>
        <v>0.1948673336233144</v>
      </c>
      <c r="F5" s="4">
        <f>(C5*'Quality Attributes Parameters'!$C$2)+(D5*'Quality Attributes Parameters'!$C$3)+(E5*'Quality Attributes Parameters'!$C$4)</f>
        <v>0.20597838950663516</v>
      </c>
      <c r="G5" s="6">
        <f>(F5*0.4)+('Scenario - Description'!$G5*0.5)+('Scenario - Description'!D5*0.1)</f>
        <v>0.16105802250265405</v>
      </c>
      <c r="H5" s="4">
        <f>RANK(G5,$G$3:$G$6)</f>
        <v>3</v>
      </c>
      <c r="I5" s="11"/>
      <c r="J5" s="11"/>
      <c r="K5" s="11"/>
      <c r="L5" s="11"/>
    </row>
    <row r="6" spans="1:37" ht="15.75" customHeight="1" x14ac:dyDescent="0.2">
      <c r="B6" s="4">
        <f>SUM(B3:B5)</f>
        <v>1574</v>
      </c>
    </row>
    <row r="10" spans="1:37" ht="15.75" customHeight="1" x14ac:dyDescent="0.2">
      <c r="AG10" s="1" t="s">
        <v>82</v>
      </c>
      <c r="AH10" s="1" t="s">
        <v>83</v>
      </c>
      <c r="AI10" s="1" t="s">
        <v>82</v>
      </c>
      <c r="AJ10" s="1" t="s">
        <v>83</v>
      </c>
    </row>
    <row r="11" spans="1:37" ht="12.75" x14ac:dyDescent="0.2">
      <c r="AG11" s="1">
        <v>1</v>
      </c>
      <c r="AH11" s="1">
        <v>0.5</v>
      </c>
      <c r="AI11" s="1">
        <v>1</v>
      </c>
      <c r="AJ11" s="1">
        <f t="shared" ref="AJ11:AJ13" si="0">AI11/SUM($AI$11:$AI$13)</f>
        <v>0.16666666666666666</v>
      </c>
      <c r="AK11" s="4">
        <f t="shared" ref="AK11:AK13" si="1">-1*(AJ11*LOG(AJ11,2))</f>
        <v>0.43082708345352599</v>
      </c>
    </row>
    <row r="12" spans="1:37" ht="12.75" x14ac:dyDescent="0.2">
      <c r="AG12" s="1">
        <v>1</v>
      </c>
      <c r="AH12" s="1">
        <v>0.5</v>
      </c>
      <c r="AI12" s="1">
        <v>2</v>
      </c>
      <c r="AJ12" s="1">
        <f t="shared" si="0"/>
        <v>0.33333333333333331</v>
      </c>
      <c r="AK12" s="4">
        <f t="shared" si="1"/>
        <v>0.52832083357371873</v>
      </c>
    </row>
    <row r="13" spans="1:37" ht="12.75" x14ac:dyDescent="0.2">
      <c r="AG13" s="4">
        <f t="shared" ref="AG13:AH13" si="2">SUM(AG11:AG12)</f>
        <v>2</v>
      </c>
      <c r="AH13" s="4">
        <f t="shared" si="2"/>
        <v>1</v>
      </c>
      <c r="AI13" s="1">
        <v>3</v>
      </c>
      <c r="AJ13" s="1">
        <f t="shared" si="0"/>
        <v>0.5</v>
      </c>
      <c r="AK13" s="4">
        <f t="shared" si="1"/>
        <v>0.5</v>
      </c>
    </row>
    <row r="14" spans="1:37" ht="12.75" x14ac:dyDescent="0.2">
      <c r="AI14" s="4">
        <f t="shared" ref="AI14:AJ14" si="3">SUM(AI11:AI12)</f>
        <v>3</v>
      </c>
      <c r="AJ14" s="4">
        <f t="shared" si="3"/>
        <v>0.5</v>
      </c>
      <c r="AK14" s="4">
        <f>SUM(AK11:AK13)</f>
        <v>1.4591479170272448</v>
      </c>
    </row>
    <row r="15" spans="1:37" ht="12.75" x14ac:dyDescent="0.2"/>
    <row r="16" spans="1:37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6" s="9" customFormat="1" ht="15.75" customHeight="1" x14ac:dyDescent="0.2"/>
  </sheetData>
  <mergeCells count="4">
    <mergeCell ref="B1:B2"/>
    <mergeCell ref="C1:F1"/>
    <mergeCell ref="G1:H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"/>
  <sheetViews>
    <sheetView workbookViewId="0">
      <selection activeCell="B4" sqref="B4"/>
    </sheetView>
  </sheetViews>
  <sheetFormatPr defaultColWidth="12.7109375" defaultRowHeight="15.75" customHeight="1" x14ac:dyDescent="0.2"/>
  <cols>
    <col min="1" max="1" width="24.28515625" customWidth="1"/>
  </cols>
  <sheetData>
    <row r="1" spans="1:3" ht="15.75" customHeight="1" x14ac:dyDescent="0.2">
      <c r="A1" s="1" t="s">
        <v>183</v>
      </c>
      <c r="B1" s="1" t="s">
        <v>1</v>
      </c>
      <c r="C1" s="1" t="s">
        <v>21</v>
      </c>
    </row>
    <row r="2" spans="1:3" ht="15.75" customHeight="1" x14ac:dyDescent="0.2">
      <c r="A2" s="1" t="s">
        <v>22</v>
      </c>
      <c r="B2" s="1">
        <v>1</v>
      </c>
      <c r="C2" s="4">
        <f t="shared" ref="C2:C4" si="0">B2/SUM($B$2:$B$4)</f>
        <v>0.16666666666666666</v>
      </c>
    </row>
    <row r="3" spans="1:3" ht="15.75" customHeight="1" x14ac:dyDescent="0.2">
      <c r="A3" s="1" t="s">
        <v>23</v>
      </c>
      <c r="B3" s="1">
        <v>2</v>
      </c>
      <c r="C3" s="4">
        <f t="shared" si="0"/>
        <v>0.33333333333333331</v>
      </c>
    </row>
    <row r="4" spans="1:3" ht="15.75" customHeight="1" x14ac:dyDescent="0.2">
      <c r="A4" s="1" t="s">
        <v>24</v>
      </c>
      <c r="B4" s="1">
        <v>3</v>
      </c>
      <c r="C4" s="4">
        <f t="shared" si="0"/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J55"/>
  <sheetViews>
    <sheetView workbookViewId="0">
      <selection activeCell="A18" sqref="A18"/>
    </sheetView>
  </sheetViews>
  <sheetFormatPr defaultColWidth="12.7109375" defaultRowHeight="15.75" customHeight="1" x14ac:dyDescent="0.2"/>
  <cols>
    <col min="3" max="3" width="42.42578125" customWidth="1"/>
    <col min="7" max="7" width="18.85546875" customWidth="1"/>
    <col min="9" max="9" width="40.140625" customWidth="1"/>
    <col min="13" max="13" width="40.7109375" customWidth="1"/>
    <col min="25" max="25" width="18.28515625" customWidth="1"/>
    <col min="26" max="26" width="13.140625" customWidth="1"/>
    <col min="27" max="27" width="20.7109375" customWidth="1"/>
    <col min="28" max="36" width="13.7109375" customWidth="1"/>
  </cols>
  <sheetData>
    <row r="1" spans="1:36" ht="15.75" customHeight="1" x14ac:dyDescent="0.2">
      <c r="A1" s="55" t="s">
        <v>20</v>
      </c>
      <c r="B1" s="55" t="s">
        <v>101</v>
      </c>
      <c r="C1" s="55" t="s">
        <v>26</v>
      </c>
      <c r="D1" s="56" t="s">
        <v>1</v>
      </c>
      <c r="E1" s="55"/>
      <c r="F1" s="55"/>
      <c r="G1" s="55"/>
      <c r="H1" s="55" t="s">
        <v>102</v>
      </c>
      <c r="I1" s="55" t="s">
        <v>103</v>
      </c>
      <c r="J1" s="56" t="s">
        <v>104</v>
      </c>
      <c r="K1" s="55"/>
      <c r="L1" s="55"/>
      <c r="M1" s="55"/>
      <c r="AG1" s="2"/>
      <c r="AH1" s="2"/>
      <c r="AI1" s="2"/>
      <c r="AJ1" s="2"/>
    </row>
    <row r="2" spans="1:36" ht="15.75" customHeight="1" x14ac:dyDescent="0.2">
      <c r="A2" s="55"/>
      <c r="B2" s="55"/>
      <c r="C2" s="55"/>
      <c r="D2" s="36" t="s">
        <v>7</v>
      </c>
      <c r="E2" s="36" t="s">
        <v>8</v>
      </c>
      <c r="F2" s="36" t="s">
        <v>109</v>
      </c>
      <c r="G2" s="36" t="s">
        <v>110</v>
      </c>
      <c r="H2" s="55"/>
      <c r="I2" s="55"/>
      <c r="J2" s="36" t="s">
        <v>7</v>
      </c>
      <c r="K2" s="36" t="s">
        <v>8</v>
      </c>
      <c r="L2" s="36" t="s">
        <v>111</v>
      </c>
      <c r="M2" s="36" t="s">
        <v>26</v>
      </c>
      <c r="AG2" s="1"/>
      <c r="AH2" s="1"/>
      <c r="AI2" s="1"/>
      <c r="AJ2" s="1"/>
    </row>
    <row r="3" spans="1:36" ht="15" x14ac:dyDescent="0.25">
      <c r="A3" s="37" t="s">
        <v>41</v>
      </c>
      <c r="B3" s="36" t="s">
        <v>11</v>
      </c>
      <c r="C3" s="36" t="s">
        <v>93</v>
      </c>
      <c r="D3" s="36">
        <v>0.1</v>
      </c>
      <c r="E3" s="36">
        <v>0.3</v>
      </c>
      <c r="F3" s="36">
        <v>0.22800000000000001</v>
      </c>
      <c r="G3" s="36">
        <f t="shared" ref="G3:G16" si="0">F3/$F$17</f>
        <v>5.4689373950587664E-2</v>
      </c>
      <c r="H3" s="36">
        <v>180</v>
      </c>
      <c r="I3" s="36" t="s">
        <v>120</v>
      </c>
      <c r="J3" s="36">
        <v>0.5</v>
      </c>
      <c r="K3" s="36">
        <v>0.7</v>
      </c>
      <c r="L3" s="36">
        <v>0.6</v>
      </c>
      <c r="M3" s="36" t="s">
        <v>121</v>
      </c>
    </row>
    <row r="4" spans="1:36" ht="15" x14ac:dyDescent="0.25">
      <c r="A4" s="37" t="s">
        <v>48</v>
      </c>
      <c r="B4" s="38"/>
      <c r="C4" s="36" t="s">
        <v>95</v>
      </c>
      <c r="D4" s="36">
        <v>0.3</v>
      </c>
      <c r="E4" s="36">
        <v>0.4</v>
      </c>
      <c r="F4" s="36">
        <v>0.34499999999999997</v>
      </c>
      <c r="G4" s="36">
        <f t="shared" si="0"/>
        <v>8.2753657951547113E-2</v>
      </c>
      <c r="H4" s="36" t="s">
        <v>94</v>
      </c>
      <c r="I4" s="36" t="s">
        <v>123</v>
      </c>
      <c r="J4" s="36">
        <v>0.35</v>
      </c>
      <c r="K4" s="36">
        <v>0.45</v>
      </c>
      <c r="L4" s="36">
        <v>0.4</v>
      </c>
      <c r="M4" s="36" t="s">
        <v>96</v>
      </c>
    </row>
    <row r="5" spans="1:36" ht="15" x14ac:dyDescent="0.25">
      <c r="A5" s="37" t="s">
        <v>49</v>
      </c>
      <c r="B5" s="36" t="s">
        <v>13</v>
      </c>
      <c r="C5" s="36" t="s">
        <v>125</v>
      </c>
      <c r="D5" s="36">
        <v>0.1</v>
      </c>
      <c r="E5" s="36">
        <v>0.15</v>
      </c>
      <c r="F5" s="36">
        <v>0.13300000000000001</v>
      </c>
      <c r="G5" s="36">
        <f t="shared" si="0"/>
        <v>3.1902134804509472E-2</v>
      </c>
      <c r="H5" s="36">
        <v>30</v>
      </c>
      <c r="I5" s="36" t="s">
        <v>120</v>
      </c>
      <c r="J5" s="36">
        <v>0.35</v>
      </c>
      <c r="K5" s="36">
        <v>0.45</v>
      </c>
      <c r="L5" s="36">
        <v>0.4</v>
      </c>
      <c r="M5" s="36" t="s">
        <v>96</v>
      </c>
    </row>
    <row r="6" spans="1:36" ht="15" x14ac:dyDescent="0.25">
      <c r="A6" s="37" t="s">
        <v>50</v>
      </c>
      <c r="B6" s="38"/>
      <c r="C6" s="36" t="s">
        <v>126</v>
      </c>
      <c r="D6" s="36">
        <v>0.4</v>
      </c>
      <c r="E6" s="36">
        <v>0.6</v>
      </c>
      <c r="F6" s="36">
        <v>0.48099999999999998</v>
      </c>
      <c r="G6" s="36">
        <f t="shared" si="0"/>
        <v>0.11537538978172222</v>
      </c>
      <c r="H6" s="36">
        <v>260</v>
      </c>
      <c r="I6" s="36" t="s">
        <v>120</v>
      </c>
      <c r="J6" s="36">
        <v>0.6</v>
      </c>
      <c r="K6" s="36">
        <v>0.8</v>
      </c>
      <c r="L6" s="36">
        <v>0.7</v>
      </c>
      <c r="M6" s="36" t="s">
        <v>127</v>
      </c>
    </row>
    <row r="7" spans="1:36" ht="15" x14ac:dyDescent="0.25">
      <c r="A7" s="37" t="s">
        <v>54</v>
      </c>
      <c r="B7" s="38"/>
      <c r="C7" s="36" t="s">
        <v>95</v>
      </c>
      <c r="D7" s="36">
        <v>0.4</v>
      </c>
      <c r="E7" s="36">
        <v>0.5</v>
      </c>
      <c r="F7" s="36">
        <v>0.44500000000000001</v>
      </c>
      <c r="G7" s="36">
        <f t="shared" si="0"/>
        <v>0.1067402254737347</v>
      </c>
      <c r="H7" s="36" t="s">
        <v>94</v>
      </c>
      <c r="I7" s="36" t="s">
        <v>123</v>
      </c>
      <c r="J7" s="36">
        <v>0.1</v>
      </c>
      <c r="K7" s="36">
        <v>0.15</v>
      </c>
      <c r="L7" s="36">
        <v>0.12</v>
      </c>
      <c r="M7" s="36" t="s">
        <v>129</v>
      </c>
    </row>
    <row r="8" spans="1:36" ht="15" x14ac:dyDescent="0.25">
      <c r="A8" s="37" t="s">
        <v>55</v>
      </c>
      <c r="B8" s="36" t="s">
        <v>15</v>
      </c>
      <c r="C8" s="36" t="s">
        <v>97</v>
      </c>
      <c r="D8" s="36">
        <v>0.2</v>
      </c>
      <c r="E8" s="36">
        <v>0.45</v>
      </c>
      <c r="F8" s="36">
        <v>0.32400000000000001</v>
      </c>
      <c r="G8" s="36">
        <f t="shared" si="0"/>
        <v>7.771647877188774E-2</v>
      </c>
      <c r="H8" s="36">
        <v>10</v>
      </c>
      <c r="I8" s="36" t="s">
        <v>120</v>
      </c>
      <c r="J8" s="36">
        <v>0.1</v>
      </c>
      <c r="K8" s="36">
        <v>0.2</v>
      </c>
      <c r="L8" s="36">
        <v>0.14000000000000001</v>
      </c>
      <c r="M8" s="36" t="s">
        <v>98</v>
      </c>
    </row>
    <row r="9" spans="1:36" ht="15" x14ac:dyDescent="0.25">
      <c r="A9" s="37" t="s">
        <v>42</v>
      </c>
      <c r="B9" s="38"/>
      <c r="C9" s="36" t="s">
        <v>99</v>
      </c>
      <c r="D9" s="36">
        <v>0.5</v>
      </c>
      <c r="E9" s="36">
        <v>0.6</v>
      </c>
      <c r="F9" s="36">
        <v>0.54100000000000004</v>
      </c>
      <c r="G9" s="36">
        <f t="shared" si="0"/>
        <v>0.12976733029503476</v>
      </c>
      <c r="H9" s="36">
        <v>20</v>
      </c>
      <c r="I9" s="36" t="s">
        <v>123</v>
      </c>
      <c r="J9" s="36">
        <v>0.7</v>
      </c>
      <c r="K9" s="36">
        <v>0.8</v>
      </c>
      <c r="L9" s="36">
        <v>0.76</v>
      </c>
      <c r="M9" s="36" t="s">
        <v>131</v>
      </c>
    </row>
    <row r="10" spans="1:36" ht="15" x14ac:dyDescent="0.25">
      <c r="A10" s="37" t="s">
        <v>43</v>
      </c>
      <c r="B10" s="36" t="s">
        <v>17</v>
      </c>
      <c r="C10" s="36" t="s">
        <v>93</v>
      </c>
      <c r="D10" s="36">
        <v>0.05</v>
      </c>
      <c r="E10" s="36">
        <v>0.1</v>
      </c>
      <c r="F10" s="36">
        <v>7.9000000000000001E-2</v>
      </c>
      <c r="G10" s="36">
        <f t="shared" si="0"/>
        <v>1.8949388342528184E-2</v>
      </c>
      <c r="H10" s="36">
        <v>90</v>
      </c>
      <c r="I10" s="36" t="s">
        <v>120</v>
      </c>
      <c r="J10" s="36">
        <v>0.2</v>
      </c>
      <c r="K10" s="36">
        <v>0.5</v>
      </c>
      <c r="L10" s="36">
        <v>0.37</v>
      </c>
      <c r="M10" s="36" t="s">
        <v>132</v>
      </c>
    </row>
    <row r="11" spans="1:36" ht="15" x14ac:dyDescent="0.25">
      <c r="A11" s="37" t="s">
        <v>56</v>
      </c>
      <c r="B11" s="36" t="s">
        <v>18</v>
      </c>
      <c r="C11" s="36" t="s">
        <v>97</v>
      </c>
      <c r="D11" s="36">
        <v>0.1</v>
      </c>
      <c r="E11" s="36">
        <v>0.25</v>
      </c>
      <c r="F11" s="36">
        <v>0.17399999999999999</v>
      </c>
      <c r="G11" s="36">
        <f t="shared" si="0"/>
        <v>4.1736627488606376E-2</v>
      </c>
      <c r="H11" s="36">
        <v>4</v>
      </c>
      <c r="I11" s="36" t="s">
        <v>120</v>
      </c>
      <c r="J11" s="36">
        <v>0.7</v>
      </c>
      <c r="K11" s="36">
        <v>0.8</v>
      </c>
      <c r="L11" s="36">
        <v>0.75</v>
      </c>
      <c r="M11" s="36" t="s">
        <v>133</v>
      </c>
    </row>
    <row r="12" spans="1:36" ht="15" x14ac:dyDescent="0.25">
      <c r="A12" s="37" t="s">
        <v>51</v>
      </c>
      <c r="B12" s="38"/>
      <c r="C12" s="36" t="s">
        <v>100</v>
      </c>
      <c r="D12" s="36">
        <v>0.4</v>
      </c>
      <c r="E12" s="36">
        <v>0.5</v>
      </c>
      <c r="F12" s="36">
        <v>0.44800000000000001</v>
      </c>
      <c r="G12" s="36">
        <f t="shared" si="0"/>
        <v>0.10745982249940032</v>
      </c>
      <c r="H12" s="36">
        <v>40</v>
      </c>
      <c r="I12" s="36" t="s">
        <v>120</v>
      </c>
      <c r="J12" s="36">
        <v>0.6</v>
      </c>
      <c r="K12" s="36">
        <v>0.7</v>
      </c>
      <c r="L12" s="36">
        <v>0.65</v>
      </c>
      <c r="M12" s="36" t="s">
        <v>134</v>
      </c>
    </row>
    <row r="13" spans="1:36" ht="15" x14ac:dyDescent="0.25">
      <c r="A13" s="37" t="s">
        <v>44</v>
      </c>
      <c r="B13" s="38"/>
      <c r="C13" s="36" t="s">
        <v>93</v>
      </c>
      <c r="D13" s="36">
        <v>0.2</v>
      </c>
      <c r="E13" s="36">
        <v>0.35</v>
      </c>
      <c r="F13" s="36">
        <v>0.26800000000000002</v>
      </c>
      <c r="G13" s="36">
        <f t="shared" si="0"/>
        <v>6.4284000959462698E-2</v>
      </c>
      <c r="H13" s="36">
        <v>10</v>
      </c>
      <c r="I13" s="36" t="s">
        <v>120</v>
      </c>
      <c r="J13" s="36">
        <v>0.4</v>
      </c>
      <c r="K13" s="36">
        <v>0.55000000000000004</v>
      </c>
      <c r="L13" s="36">
        <v>0.47</v>
      </c>
      <c r="M13" s="36" t="s">
        <v>135</v>
      </c>
    </row>
    <row r="14" spans="1:36" ht="15" x14ac:dyDescent="0.25">
      <c r="A14" s="37" t="s">
        <v>45</v>
      </c>
      <c r="B14" s="36" t="s">
        <v>19</v>
      </c>
      <c r="C14" s="36" t="s">
        <v>93</v>
      </c>
      <c r="D14" s="36">
        <v>0.15</v>
      </c>
      <c r="E14" s="36">
        <v>0.25</v>
      </c>
      <c r="F14" s="36">
        <v>0.20300000000000001</v>
      </c>
      <c r="G14" s="36">
        <f t="shared" si="0"/>
        <v>4.8692732070040774E-2</v>
      </c>
      <c r="H14" s="36">
        <v>10</v>
      </c>
      <c r="I14" s="36" t="s">
        <v>120</v>
      </c>
      <c r="J14" s="36">
        <v>0.1</v>
      </c>
      <c r="K14" s="36">
        <v>0.15</v>
      </c>
      <c r="L14" s="36">
        <v>0.13</v>
      </c>
      <c r="M14" s="36" t="s">
        <v>136</v>
      </c>
    </row>
    <row r="15" spans="1:36" ht="15" x14ac:dyDescent="0.25">
      <c r="A15" s="37" t="s">
        <v>52</v>
      </c>
      <c r="B15" s="38"/>
      <c r="C15" s="36" t="s">
        <v>100</v>
      </c>
      <c r="D15" s="36">
        <v>0.2</v>
      </c>
      <c r="E15" s="36">
        <v>0.25</v>
      </c>
      <c r="F15" s="36">
        <v>0.224</v>
      </c>
      <c r="G15" s="36">
        <f t="shared" si="0"/>
        <v>5.3729911249700162E-2</v>
      </c>
      <c r="H15" s="36">
        <v>40</v>
      </c>
      <c r="I15" s="36" t="s">
        <v>120</v>
      </c>
      <c r="J15" s="36">
        <v>0.25</v>
      </c>
      <c r="K15" s="36">
        <v>0.3</v>
      </c>
      <c r="L15" s="36">
        <v>0.28000000000000003</v>
      </c>
      <c r="M15" s="36" t="s">
        <v>137</v>
      </c>
    </row>
    <row r="16" spans="1:36" ht="15" x14ac:dyDescent="0.25">
      <c r="A16" s="37" t="s">
        <v>46</v>
      </c>
      <c r="B16" s="38"/>
      <c r="C16" s="36" t="s">
        <v>95</v>
      </c>
      <c r="D16" s="36">
        <v>0.25</v>
      </c>
      <c r="E16" s="36">
        <v>0.3</v>
      </c>
      <c r="F16" s="36">
        <v>0.27600000000000002</v>
      </c>
      <c r="G16" s="36">
        <f t="shared" si="0"/>
        <v>6.6202926361237702E-2</v>
      </c>
      <c r="H16" s="36" t="s">
        <v>94</v>
      </c>
      <c r="I16" s="36" t="s">
        <v>123</v>
      </c>
      <c r="J16" s="36">
        <v>0.1</v>
      </c>
      <c r="K16" s="36">
        <v>0.15</v>
      </c>
      <c r="L16" s="36">
        <v>0.12</v>
      </c>
      <c r="M16" s="36" t="s">
        <v>138</v>
      </c>
    </row>
    <row r="17" spans="1:13" ht="15.75" customHeight="1" x14ac:dyDescent="0.2">
      <c r="A17" s="36"/>
      <c r="B17" s="36"/>
      <c r="C17" s="36"/>
      <c r="D17" s="36"/>
      <c r="E17" s="36"/>
      <c r="F17" s="38">
        <f>SUM(F3:F16)</f>
        <v>4.1690000000000005</v>
      </c>
      <c r="G17" s="38">
        <f>SUM(G3:G16)</f>
        <v>1</v>
      </c>
      <c r="H17" s="36"/>
      <c r="I17" s="36"/>
      <c r="J17" s="36"/>
      <c r="K17" s="36"/>
      <c r="L17" s="36"/>
      <c r="M17" s="36"/>
    </row>
    <row r="18" spans="1:13" ht="15.75" customHeight="1" x14ac:dyDescent="0.2">
      <c r="A18" s="12" t="s">
        <v>186</v>
      </c>
    </row>
    <row r="23" spans="1:13" ht="12.75" x14ac:dyDescent="0.2"/>
    <row r="24" spans="1:13" ht="12.75" x14ac:dyDescent="0.2"/>
    <row r="25" spans="1:13" ht="12.75" x14ac:dyDescent="0.2"/>
    <row r="26" spans="1:13" ht="12.75" x14ac:dyDescent="0.2"/>
    <row r="27" spans="1:13" ht="12.75" x14ac:dyDescent="0.2"/>
    <row r="28" spans="1:13" ht="12.75" x14ac:dyDescent="0.2"/>
    <row r="29" spans="1:13" ht="12.75" x14ac:dyDescent="0.2"/>
    <row r="30" spans="1:13" ht="12.75" x14ac:dyDescent="0.2"/>
    <row r="31" spans="1:13" ht="12.75" x14ac:dyDescent="0.2"/>
    <row r="32" spans="1:13" ht="12.75" x14ac:dyDescent="0.2"/>
    <row r="33" ht="12.75" x14ac:dyDescent="0.2"/>
    <row r="34" ht="12.75" x14ac:dyDescent="0.2"/>
    <row r="35" ht="12.75" x14ac:dyDescent="0.2"/>
    <row r="36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</sheetData>
  <mergeCells count="7">
    <mergeCell ref="I1:I2"/>
    <mergeCell ref="J1:M1"/>
    <mergeCell ref="A1:A2"/>
    <mergeCell ref="B1:B2"/>
    <mergeCell ref="C1:C2"/>
    <mergeCell ref="D1:G1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72CB-41E4-4E92-B788-C7DED9F85238}">
  <dimension ref="A1:N30"/>
  <sheetViews>
    <sheetView workbookViewId="0">
      <selection activeCell="F24" sqref="F24"/>
    </sheetView>
  </sheetViews>
  <sheetFormatPr defaultRowHeight="12.75" x14ac:dyDescent="0.2"/>
  <cols>
    <col min="1" max="1" width="10" customWidth="1"/>
    <col min="2" max="2" width="18.42578125" customWidth="1"/>
    <col min="3" max="3" width="10.85546875" customWidth="1"/>
    <col min="4" max="4" width="12.140625" customWidth="1"/>
  </cols>
  <sheetData>
    <row r="1" spans="1:14" s="10" customFormat="1" ht="13.5" thickBot="1" x14ac:dyDescent="0.25">
      <c r="A1" s="12" t="s">
        <v>161</v>
      </c>
      <c r="B1" s="12" t="s">
        <v>160</v>
      </c>
      <c r="C1" s="12" t="s">
        <v>159</v>
      </c>
      <c r="D1" s="12" t="s">
        <v>158</v>
      </c>
      <c r="E1" s="12" t="s">
        <v>157</v>
      </c>
      <c r="F1" s="12" t="s">
        <v>109</v>
      </c>
    </row>
    <row r="2" spans="1:14" x14ac:dyDescent="0.2">
      <c r="A2" s="57" t="s">
        <v>140</v>
      </c>
      <c r="B2" s="7" t="s">
        <v>141</v>
      </c>
      <c r="C2" s="7" t="s">
        <v>41</v>
      </c>
      <c r="D2" s="8">
        <f>'TD-Obstacle Mapping'!D3</f>
        <v>0.1</v>
      </c>
      <c r="E2" s="8">
        <f>'TD-Obstacle Mapping'!E3</f>
        <v>0.3</v>
      </c>
      <c r="F2" s="8">
        <f>'TD-Obstacle Mapping'!F3</f>
        <v>0.22800000000000001</v>
      </c>
      <c r="I2" s="15" t="s">
        <v>179</v>
      </c>
      <c r="J2" s="16"/>
      <c r="K2" s="16"/>
      <c r="L2" s="16"/>
      <c r="M2" s="16"/>
      <c r="N2" s="17"/>
    </row>
    <row r="3" spans="1:14" x14ac:dyDescent="0.2">
      <c r="A3" s="57"/>
      <c r="B3" s="7" t="s">
        <v>142</v>
      </c>
      <c r="C3" s="7" t="s">
        <v>49</v>
      </c>
      <c r="D3" s="8">
        <f>'TD-Obstacle Mapping'!D5</f>
        <v>0.1</v>
      </c>
      <c r="E3" s="8">
        <f>'TD-Obstacle Mapping'!E5</f>
        <v>0.15</v>
      </c>
      <c r="F3" s="8">
        <f>'TD-Obstacle Mapping'!F5</f>
        <v>0.13300000000000001</v>
      </c>
      <c r="I3" s="18"/>
      <c r="J3" s="19"/>
      <c r="K3" s="19"/>
      <c r="L3" s="19"/>
      <c r="M3" s="19"/>
      <c r="N3" s="20"/>
    </row>
    <row r="4" spans="1:14" x14ac:dyDescent="0.2">
      <c r="A4" s="57"/>
      <c r="B4" s="7" t="s">
        <v>143</v>
      </c>
      <c r="C4" s="7" t="s">
        <v>50</v>
      </c>
      <c r="D4" s="8">
        <f>'TD-Obstacle Mapping'!D6</f>
        <v>0.4</v>
      </c>
      <c r="E4" s="8">
        <f>'TD-Obstacle Mapping'!E6</f>
        <v>0.6</v>
      </c>
      <c r="F4" s="8">
        <f>'TD-Obstacle Mapping'!F6</f>
        <v>0.48099999999999998</v>
      </c>
      <c r="I4" s="21" t="s">
        <v>163</v>
      </c>
      <c r="J4" s="19"/>
      <c r="K4" s="19"/>
      <c r="L4" s="22">
        <f t="shared" ref="L4:L13" si="0">D2/SUM($D$2:$D$11)</f>
        <v>5.2631578947368425E-2</v>
      </c>
      <c r="M4" s="22">
        <f t="shared" ref="M4:M13" si="1">E2/SUM($D$2:$D$11)</f>
        <v>0.15789473684210525</v>
      </c>
      <c r="N4" s="23">
        <f t="shared" ref="N4:N13" si="2">F2/SUM($D$2:$D$11)</f>
        <v>0.12000000000000001</v>
      </c>
    </row>
    <row r="5" spans="1:14" x14ac:dyDescent="0.2">
      <c r="A5" s="57"/>
      <c r="B5" s="7" t="s">
        <v>144</v>
      </c>
      <c r="C5" s="7" t="s">
        <v>55</v>
      </c>
      <c r="D5" s="8">
        <f>'TD-Obstacle Mapping'!D8</f>
        <v>0.2</v>
      </c>
      <c r="E5" s="8">
        <f>'TD-Obstacle Mapping'!E8</f>
        <v>0.45</v>
      </c>
      <c r="F5" s="8">
        <f>'TD-Obstacle Mapping'!F8</f>
        <v>0.32400000000000001</v>
      </c>
      <c r="I5" s="21" t="s">
        <v>164</v>
      </c>
      <c r="J5" s="19"/>
      <c r="K5" s="19"/>
      <c r="L5" s="22">
        <f t="shared" si="0"/>
        <v>5.2631578947368425E-2</v>
      </c>
      <c r="M5" s="22">
        <f t="shared" si="1"/>
        <v>7.8947368421052627E-2</v>
      </c>
      <c r="N5" s="23">
        <f t="shared" si="2"/>
        <v>7.0000000000000007E-2</v>
      </c>
    </row>
    <row r="6" spans="1:14" x14ac:dyDescent="0.2">
      <c r="A6" s="57"/>
      <c r="B6" s="7" t="s">
        <v>145</v>
      </c>
      <c r="C6" s="7" t="s">
        <v>43</v>
      </c>
      <c r="D6" s="8">
        <f>'TD-Obstacle Mapping'!D10</f>
        <v>0.05</v>
      </c>
      <c r="E6" s="8">
        <f>'TD-Obstacle Mapping'!E10</f>
        <v>0.1</v>
      </c>
      <c r="F6" s="8">
        <f>'TD-Obstacle Mapping'!F10</f>
        <v>7.9000000000000001E-2</v>
      </c>
      <c r="I6" s="21" t="s">
        <v>165</v>
      </c>
      <c r="J6" s="19"/>
      <c r="K6" s="19"/>
      <c r="L6" s="22">
        <f t="shared" si="0"/>
        <v>0.2105263157894737</v>
      </c>
      <c r="M6" s="22">
        <f t="shared" si="1"/>
        <v>0.31578947368421051</v>
      </c>
      <c r="N6" s="23">
        <f t="shared" si="2"/>
        <v>0.25315789473684208</v>
      </c>
    </row>
    <row r="7" spans="1:14" x14ac:dyDescent="0.2">
      <c r="A7" s="57"/>
      <c r="B7" s="7" t="s">
        <v>146</v>
      </c>
      <c r="C7" s="7" t="s">
        <v>56</v>
      </c>
      <c r="D7" s="8">
        <f>'TD-Obstacle Mapping'!D11</f>
        <v>0.1</v>
      </c>
      <c r="E7" s="8">
        <f>'TD-Obstacle Mapping'!E11</f>
        <v>0.25</v>
      </c>
      <c r="F7" s="8">
        <f>'TD-Obstacle Mapping'!F11</f>
        <v>0.17399999999999999</v>
      </c>
      <c r="I7" s="21" t="s">
        <v>166</v>
      </c>
      <c r="J7" s="19"/>
      <c r="K7" s="19"/>
      <c r="L7" s="22">
        <f t="shared" si="0"/>
        <v>0.10526315789473685</v>
      </c>
      <c r="M7" s="22">
        <f t="shared" si="1"/>
        <v>0.23684210526315791</v>
      </c>
      <c r="N7" s="23">
        <f t="shared" si="2"/>
        <v>0.17052631578947369</v>
      </c>
    </row>
    <row r="8" spans="1:14" x14ac:dyDescent="0.2">
      <c r="A8" s="57"/>
      <c r="B8" s="7" t="s">
        <v>147</v>
      </c>
      <c r="C8" s="7" t="s">
        <v>51</v>
      </c>
      <c r="D8" s="8">
        <f>'TD-Obstacle Mapping'!D12</f>
        <v>0.4</v>
      </c>
      <c r="E8" s="8">
        <f>'TD-Obstacle Mapping'!E12</f>
        <v>0.5</v>
      </c>
      <c r="F8" s="8">
        <f>'TD-Obstacle Mapping'!F12</f>
        <v>0.44800000000000001</v>
      </c>
      <c r="I8" s="21" t="s">
        <v>167</v>
      </c>
      <c r="J8" s="19"/>
      <c r="K8" s="19"/>
      <c r="L8" s="22">
        <f t="shared" si="0"/>
        <v>2.6315789473684213E-2</v>
      </c>
      <c r="M8" s="22">
        <f t="shared" si="1"/>
        <v>5.2631578947368425E-2</v>
      </c>
      <c r="N8" s="23">
        <f t="shared" si="2"/>
        <v>4.1578947368421056E-2</v>
      </c>
    </row>
    <row r="9" spans="1:14" x14ac:dyDescent="0.2">
      <c r="A9" s="57"/>
      <c r="B9" s="7" t="s">
        <v>148</v>
      </c>
      <c r="C9" s="7" t="s">
        <v>44</v>
      </c>
      <c r="D9" s="8">
        <f>'TD-Obstacle Mapping'!D13</f>
        <v>0.2</v>
      </c>
      <c r="E9" s="8">
        <f>'TD-Obstacle Mapping'!E13</f>
        <v>0.35</v>
      </c>
      <c r="F9" s="8">
        <f>'TD-Obstacle Mapping'!F13</f>
        <v>0.26800000000000002</v>
      </c>
      <c r="I9" s="21" t="s">
        <v>168</v>
      </c>
      <c r="J9" s="19"/>
      <c r="K9" s="19"/>
      <c r="L9" s="22">
        <f t="shared" si="0"/>
        <v>5.2631578947368425E-2</v>
      </c>
      <c r="M9" s="22">
        <f t="shared" si="1"/>
        <v>0.13157894736842105</v>
      </c>
      <c r="N9" s="23">
        <f t="shared" si="2"/>
        <v>9.1578947368421051E-2</v>
      </c>
    </row>
    <row r="10" spans="1:14" x14ac:dyDescent="0.2">
      <c r="A10" s="57"/>
      <c r="B10" s="7" t="s">
        <v>149</v>
      </c>
      <c r="C10" s="7" t="s">
        <v>45</v>
      </c>
      <c r="D10" s="8">
        <f>'TD-Obstacle Mapping'!D14</f>
        <v>0.15</v>
      </c>
      <c r="E10" s="8">
        <f>'TD-Obstacle Mapping'!E14</f>
        <v>0.25</v>
      </c>
      <c r="F10" s="8">
        <f>'TD-Obstacle Mapping'!F14</f>
        <v>0.20300000000000001</v>
      </c>
      <c r="I10" s="21" t="s">
        <v>169</v>
      </c>
      <c r="J10" s="19"/>
      <c r="K10" s="19"/>
      <c r="L10" s="22">
        <f t="shared" si="0"/>
        <v>0.2105263157894737</v>
      </c>
      <c r="M10" s="22">
        <f t="shared" si="1"/>
        <v>0.26315789473684209</v>
      </c>
      <c r="N10" s="23">
        <f t="shared" si="2"/>
        <v>0.23578947368421055</v>
      </c>
    </row>
    <row r="11" spans="1:14" x14ac:dyDescent="0.2">
      <c r="A11" s="57"/>
      <c r="B11" s="7" t="s">
        <v>150</v>
      </c>
      <c r="C11" s="7" t="s">
        <v>52</v>
      </c>
      <c r="D11" s="8">
        <f>'TD-Obstacle Mapping'!D15</f>
        <v>0.2</v>
      </c>
      <c r="E11" s="8">
        <f>'TD-Obstacle Mapping'!E15</f>
        <v>0.25</v>
      </c>
      <c r="F11" s="8">
        <f>'TD-Obstacle Mapping'!F15</f>
        <v>0.224</v>
      </c>
      <c r="I11" s="21" t="s">
        <v>170</v>
      </c>
      <c r="J11" s="19"/>
      <c r="K11" s="19"/>
      <c r="L11" s="22">
        <f t="shared" si="0"/>
        <v>0.10526315789473685</v>
      </c>
      <c r="M11" s="22">
        <f t="shared" si="1"/>
        <v>0.18421052631578946</v>
      </c>
      <c r="N11" s="23">
        <f t="shared" si="2"/>
        <v>0.14105263157894737</v>
      </c>
    </row>
    <row r="12" spans="1:14" s="10" customFormat="1" x14ac:dyDescent="0.2">
      <c r="A12" s="57" t="s">
        <v>151</v>
      </c>
      <c r="B12" s="7" t="s">
        <v>152</v>
      </c>
      <c r="C12" s="7" t="s">
        <v>48</v>
      </c>
      <c r="D12" s="8">
        <f>'TD-Obstacle Mapping'!D4</f>
        <v>0.3</v>
      </c>
      <c r="E12" s="8">
        <f>'TD-Obstacle Mapping'!E4</f>
        <v>0.4</v>
      </c>
      <c r="F12" s="8">
        <f>'TD-Obstacle Mapping'!F4</f>
        <v>0.34499999999999997</v>
      </c>
      <c r="I12" s="21" t="s">
        <v>171</v>
      </c>
      <c r="J12" s="19"/>
      <c r="K12" s="19"/>
      <c r="L12" s="22">
        <f t="shared" si="0"/>
        <v>7.8947368421052627E-2</v>
      </c>
      <c r="M12" s="22">
        <f t="shared" si="1"/>
        <v>0.13157894736842105</v>
      </c>
      <c r="N12" s="23">
        <f t="shared" si="2"/>
        <v>0.1068421052631579</v>
      </c>
    </row>
    <row r="13" spans="1:14" s="10" customFormat="1" x14ac:dyDescent="0.2">
      <c r="A13" s="57"/>
      <c r="B13" s="7" t="s">
        <v>153</v>
      </c>
      <c r="C13" s="7" t="s">
        <v>54</v>
      </c>
      <c r="D13" s="8">
        <f>'TD-Obstacle Mapping'!D7</f>
        <v>0.4</v>
      </c>
      <c r="E13" s="8">
        <f>'TD-Obstacle Mapping'!E7</f>
        <v>0.5</v>
      </c>
      <c r="F13" s="8">
        <f>'TD-Obstacle Mapping'!F7</f>
        <v>0.44500000000000001</v>
      </c>
      <c r="I13" s="21" t="s">
        <v>172</v>
      </c>
      <c r="J13" s="19"/>
      <c r="K13" s="19"/>
      <c r="L13" s="22">
        <f t="shared" si="0"/>
        <v>0.10526315789473685</v>
      </c>
      <c r="M13" s="22">
        <f t="shared" si="1"/>
        <v>0.13157894736842105</v>
      </c>
      <c r="N13" s="23">
        <f t="shared" si="2"/>
        <v>0.11789473684210527</v>
      </c>
    </row>
    <row r="14" spans="1:14" s="10" customFormat="1" x14ac:dyDescent="0.2">
      <c r="A14" s="57"/>
      <c r="B14" s="7" t="s">
        <v>154</v>
      </c>
      <c r="C14" s="7" t="s">
        <v>42</v>
      </c>
      <c r="D14" s="8">
        <f>'TD-Obstacle Mapping'!D9</f>
        <v>0.5</v>
      </c>
      <c r="E14" s="8">
        <f>'TD-Obstacle Mapping'!E9</f>
        <v>0.6</v>
      </c>
      <c r="F14" s="8">
        <f>'TD-Obstacle Mapping'!F9</f>
        <v>0.54100000000000004</v>
      </c>
      <c r="I14" s="21" t="s">
        <v>173</v>
      </c>
      <c r="J14" s="22"/>
      <c r="K14" s="22"/>
      <c r="L14" s="22">
        <f>PRODUCT(L4:L13)</f>
        <v>1.5657961594829003E-11</v>
      </c>
      <c r="M14" s="22">
        <f t="shared" ref="M14:N14" si="3">PRODUCT(M4:M13)</f>
        <v>5.4187403712573485E-9</v>
      </c>
      <c r="N14" s="23">
        <f t="shared" si="3"/>
        <v>5.7846058022886938E-10</v>
      </c>
    </row>
    <row r="15" spans="1:14" s="10" customFormat="1" x14ac:dyDescent="0.2">
      <c r="A15" s="57"/>
      <c r="B15" s="7" t="s">
        <v>155</v>
      </c>
      <c r="C15" s="7" t="s">
        <v>46</v>
      </c>
      <c r="D15" s="8">
        <f>'TD-Obstacle Mapping'!D16</f>
        <v>0.25</v>
      </c>
      <c r="E15" s="8">
        <f>'TD-Obstacle Mapping'!E16</f>
        <v>0.3</v>
      </c>
      <c r="F15" s="8">
        <f>'TD-Obstacle Mapping'!F16</f>
        <v>0.27600000000000002</v>
      </c>
      <c r="I15" s="21" t="s">
        <v>140</v>
      </c>
      <c r="J15" s="22"/>
      <c r="K15" s="22"/>
      <c r="L15" s="22">
        <f>1-L14</f>
        <v>0.99999999998434208</v>
      </c>
      <c r="M15" s="22">
        <f>1-M14</f>
        <v>0.99999999458125965</v>
      </c>
      <c r="N15" s="23">
        <f>1-N14</f>
        <v>0.99999999942153939</v>
      </c>
    </row>
    <row r="16" spans="1:14" s="10" customFormat="1" x14ac:dyDescent="0.2">
      <c r="A16" s="14"/>
      <c r="B16" s="13"/>
      <c r="C16" s="13"/>
      <c r="D16" s="8"/>
      <c r="E16" s="8"/>
      <c r="F16" s="8"/>
      <c r="I16" s="18"/>
      <c r="J16" s="19"/>
      <c r="K16" s="19"/>
      <c r="L16" s="19"/>
      <c r="M16" s="19"/>
      <c r="N16" s="20"/>
    </row>
    <row r="17" spans="1:14" x14ac:dyDescent="0.2">
      <c r="A17" s="12" t="s">
        <v>186</v>
      </c>
      <c r="I17" s="24" t="s">
        <v>174</v>
      </c>
      <c r="J17" s="19"/>
      <c r="K17" s="19"/>
      <c r="L17" s="25">
        <f t="shared" ref="L17:N20" si="4">D12/SUM($D$12:$D$15)</f>
        <v>0.20689655172413793</v>
      </c>
      <c r="M17" s="25">
        <f t="shared" si="4"/>
        <v>0.27586206896551724</v>
      </c>
      <c r="N17" s="26">
        <f t="shared" si="4"/>
        <v>0.2379310344827586</v>
      </c>
    </row>
    <row r="18" spans="1:14" x14ac:dyDescent="0.2">
      <c r="I18" s="24" t="s">
        <v>175</v>
      </c>
      <c r="J18" s="19"/>
      <c r="K18" s="19"/>
      <c r="L18" s="25">
        <f t="shared" si="4"/>
        <v>0.27586206896551724</v>
      </c>
      <c r="M18" s="25">
        <f t="shared" si="4"/>
        <v>0.34482758620689657</v>
      </c>
      <c r="N18" s="26">
        <f t="shared" si="4"/>
        <v>0.30689655172413793</v>
      </c>
    </row>
    <row r="19" spans="1:14" x14ac:dyDescent="0.2">
      <c r="I19" s="24" t="s">
        <v>176</v>
      </c>
      <c r="J19" s="19"/>
      <c r="K19" s="19"/>
      <c r="L19" s="25">
        <f t="shared" si="4"/>
        <v>0.34482758620689657</v>
      </c>
      <c r="M19" s="25">
        <f t="shared" si="4"/>
        <v>0.41379310344827586</v>
      </c>
      <c r="N19" s="26">
        <f t="shared" si="4"/>
        <v>0.37310344827586212</v>
      </c>
    </row>
    <row r="20" spans="1:14" x14ac:dyDescent="0.2">
      <c r="I20" s="24" t="s">
        <v>177</v>
      </c>
      <c r="J20" s="19"/>
      <c r="K20" s="19"/>
      <c r="L20" s="25">
        <f t="shared" si="4"/>
        <v>0.17241379310344829</v>
      </c>
      <c r="M20" s="25">
        <f t="shared" si="4"/>
        <v>0.20689655172413793</v>
      </c>
      <c r="N20" s="26">
        <f t="shared" si="4"/>
        <v>0.19034482758620691</v>
      </c>
    </row>
    <row r="21" spans="1:14" x14ac:dyDescent="0.2">
      <c r="I21" s="24" t="s">
        <v>178</v>
      </c>
      <c r="J21" s="19"/>
      <c r="K21" s="19"/>
      <c r="L21" s="25">
        <f>PRODUCT(L17:L20)</f>
        <v>3.3932765053776366E-3</v>
      </c>
      <c r="M21" s="25">
        <f>PRODUCT(M17:M20)</f>
        <v>8.1438636129063276E-3</v>
      </c>
      <c r="N21" s="26">
        <f>PRODUCT(N17:N20)</f>
        <v>5.1857723083187594E-3</v>
      </c>
    </row>
    <row r="22" spans="1:14" x14ac:dyDescent="0.2">
      <c r="I22" s="24" t="s">
        <v>151</v>
      </c>
      <c r="J22" s="19"/>
      <c r="K22" s="19"/>
      <c r="L22" s="25">
        <f>1-L21</f>
        <v>0.99660672349462232</v>
      </c>
      <c r="M22" s="25">
        <f>1-M21</f>
        <v>0.99185613638709369</v>
      </c>
      <c r="N22" s="26">
        <f>1-N21</f>
        <v>0.99481422769168126</v>
      </c>
    </row>
    <row r="23" spans="1:14" x14ac:dyDescent="0.2">
      <c r="I23" s="18"/>
      <c r="J23" s="19"/>
      <c r="K23" s="19"/>
      <c r="L23" s="19"/>
      <c r="M23" s="19"/>
      <c r="N23" s="20"/>
    </row>
    <row r="24" spans="1:14" x14ac:dyDescent="0.2">
      <c r="I24" s="24" t="s">
        <v>162</v>
      </c>
      <c r="J24" s="19"/>
      <c r="K24" s="19"/>
      <c r="L24" s="25">
        <f>L15*L22</f>
        <v>0.99660672347901758</v>
      </c>
      <c r="M24" s="25">
        <f>M15*M22</f>
        <v>0.99185613101248282</v>
      </c>
      <c r="N24" s="26">
        <f>N15*N22</f>
        <v>0.99481422711622036</v>
      </c>
    </row>
    <row r="25" spans="1:14" ht="15" x14ac:dyDescent="0.25">
      <c r="I25" s="27" t="s">
        <v>156</v>
      </c>
      <c r="J25" s="19"/>
      <c r="K25" s="28"/>
      <c r="L25" s="29">
        <v>0.95</v>
      </c>
      <c r="M25" s="29">
        <v>0.95</v>
      </c>
      <c r="N25" s="30">
        <v>0.95</v>
      </c>
    </row>
    <row r="26" spans="1:14" ht="13.5" thickBot="1" x14ac:dyDescent="0.25">
      <c r="I26" s="31" t="s">
        <v>184</v>
      </c>
      <c r="J26" s="32"/>
      <c r="K26" s="32"/>
      <c r="L26" s="33">
        <f>L24-L25</f>
        <v>4.660672347901762E-2</v>
      </c>
      <c r="M26" s="33">
        <f>M24-M25</f>
        <v>4.1856131012482867E-2</v>
      </c>
      <c r="N26" s="34">
        <f>N24-N25</f>
        <v>4.4814227116220406E-2</v>
      </c>
    </row>
    <row r="30" spans="1:14" s="10" customFormat="1" x14ac:dyDescent="0.2"/>
  </sheetData>
  <mergeCells count="2">
    <mergeCell ref="A12:A15"/>
    <mergeCell ref="A2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9211-35C5-4DB3-8204-33B5F990DE7D}">
  <dimension ref="A1:B17"/>
  <sheetViews>
    <sheetView workbookViewId="0">
      <selection activeCell="B35" sqref="B35"/>
    </sheetView>
  </sheetViews>
  <sheetFormatPr defaultRowHeight="12.75" x14ac:dyDescent="0.2"/>
  <cols>
    <col min="1" max="1" width="9.140625" style="10"/>
    <col min="2" max="2" width="60.140625" style="10" customWidth="1"/>
  </cols>
  <sheetData>
    <row r="1" spans="1:2" x14ac:dyDescent="0.2">
      <c r="A1" s="55" t="s">
        <v>20</v>
      </c>
      <c r="B1" s="55" t="s">
        <v>25</v>
      </c>
    </row>
    <row r="2" spans="1:2" x14ac:dyDescent="0.2">
      <c r="A2" s="55"/>
      <c r="B2" s="55"/>
    </row>
    <row r="3" spans="1:2" ht="15" x14ac:dyDescent="0.25">
      <c r="A3" s="37" t="s">
        <v>41</v>
      </c>
      <c r="B3" s="36" t="s">
        <v>122</v>
      </c>
    </row>
    <row r="4" spans="1:2" ht="15" x14ac:dyDescent="0.25">
      <c r="A4" s="37" t="s">
        <v>48</v>
      </c>
      <c r="B4" s="36" t="s">
        <v>124</v>
      </c>
    </row>
    <row r="5" spans="1:2" ht="15" x14ac:dyDescent="0.25">
      <c r="A5" s="37" t="s">
        <v>49</v>
      </c>
      <c r="B5" s="36" t="s">
        <v>124</v>
      </c>
    </row>
    <row r="6" spans="1:2" ht="15" x14ac:dyDescent="0.25">
      <c r="A6" s="37" t="s">
        <v>50</v>
      </c>
      <c r="B6" s="36" t="s">
        <v>128</v>
      </c>
    </row>
    <row r="7" spans="1:2" ht="15" x14ac:dyDescent="0.25">
      <c r="A7" s="37" t="s">
        <v>54</v>
      </c>
      <c r="B7" s="36" t="s">
        <v>130</v>
      </c>
    </row>
    <row r="8" spans="1:2" ht="15" x14ac:dyDescent="0.25">
      <c r="A8" s="37" t="s">
        <v>55</v>
      </c>
      <c r="B8" s="36" t="s">
        <v>130</v>
      </c>
    </row>
    <row r="9" spans="1:2" ht="15" x14ac:dyDescent="0.25">
      <c r="A9" s="37" t="s">
        <v>42</v>
      </c>
      <c r="B9" s="36" t="s">
        <v>122</v>
      </c>
    </row>
    <row r="10" spans="1:2" ht="15" x14ac:dyDescent="0.25">
      <c r="A10" s="37" t="s">
        <v>43</v>
      </c>
      <c r="B10" s="36" t="s">
        <v>122</v>
      </c>
    </row>
    <row r="11" spans="1:2" ht="15" x14ac:dyDescent="0.25">
      <c r="A11" s="37" t="s">
        <v>56</v>
      </c>
      <c r="B11" s="36" t="s">
        <v>130</v>
      </c>
    </row>
    <row r="12" spans="1:2" ht="15" x14ac:dyDescent="0.25">
      <c r="A12" s="37" t="s">
        <v>51</v>
      </c>
      <c r="B12" s="36" t="s">
        <v>124</v>
      </c>
    </row>
    <row r="13" spans="1:2" ht="15" x14ac:dyDescent="0.25">
      <c r="A13" s="37" t="s">
        <v>44</v>
      </c>
      <c r="B13" s="36" t="s">
        <v>122</v>
      </c>
    </row>
    <row r="14" spans="1:2" ht="15" x14ac:dyDescent="0.25">
      <c r="A14" s="37" t="s">
        <v>45</v>
      </c>
      <c r="B14" s="36" t="s">
        <v>122</v>
      </c>
    </row>
    <row r="15" spans="1:2" ht="15" x14ac:dyDescent="0.25">
      <c r="A15" s="37" t="s">
        <v>52</v>
      </c>
      <c r="B15" s="36" t="s">
        <v>124</v>
      </c>
    </row>
    <row r="16" spans="1:2" ht="15" x14ac:dyDescent="0.25">
      <c r="A16" s="37" t="s">
        <v>46</v>
      </c>
      <c r="B16" s="36" t="s">
        <v>139</v>
      </c>
    </row>
    <row r="17" spans="1:2" x14ac:dyDescent="0.2">
      <c r="A17" s="36"/>
      <c r="B17" s="36"/>
    </row>
  </sheetData>
  <mergeCells count="2">
    <mergeCell ref="A1:A2"/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5448-B4CF-4D0F-84E3-B7FE230593D7}">
  <dimension ref="A1:E17"/>
  <sheetViews>
    <sheetView workbookViewId="0">
      <selection activeCell="E12" sqref="E12"/>
    </sheetView>
  </sheetViews>
  <sheetFormatPr defaultRowHeight="12.75" x14ac:dyDescent="0.2"/>
  <cols>
    <col min="1" max="1" width="9.140625" style="10"/>
  </cols>
  <sheetData>
    <row r="1" spans="1:5" x14ac:dyDescent="0.2">
      <c r="A1" s="55" t="s">
        <v>20</v>
      </c>
      <c r="B1" s="56" t="s">
        <v>88</v>
      </c>
      <c r="C1" s="55"/>
      <c r="D1" s="55"/>
      <c r="E1" s="55"/>
    </row>
    <row r="2" spans="1:5" x14ac:dyDescent="0.2">
      <c r="A2" s="55"/>
      <c r="B2" s="36" t="s">
        <v>35</v>
      </c>
      <c r="C2" s="36" t="s">
        <v>36</v>
      </c>
      <c r="D2" s="36" t="s">
        <v>37</v>
      </c>
      <c r="E2" s="36" t="s">
        <v>38</v>
      </c>
    </row>
    <row r="3" spans="1:5" ht="15" x14ac:dyDescent="0.25">
      <c r="A3" s="37" t="s">
        <v>41</v>
      </c>
      <c r="B3" s="38">
        <f>'File Properties'!$B3*'File Properties'!D3</f>
        <v>0.12</v>
      </c>
      <c r="C3" s="38">
        <f>'File Properties'!$B3*'File Properties'!G3</f>
        <v>3.2600000000000004E-2</v>
      </c>
      <c r="D3" s="38">
        <f>'File Properties'!$B3*'File Properties'!J3</f>
        <v>0.15480000000000002</v>
      </c>
      <c r="E3" s="38">
        <f>(B3*'Quality Attributes Parameters'!$C$2)+(C3*'Quality Attributes Parameters'!$C$3)+(D3*'Quality Attributes Parameters'!$C$4)</f>
        <v>0.10826666666666668</v>
      </c>
    </row>
    <row r="4" spans="1:5" ht="15" x14ac:dyDescent="0.25">
      <c r="A4" s="37" t="s">
        <v>48</v>
      </c>
      <c r="B4" s="38">
        <f>'File Properties'!$B3*'File Properties'!D3</f>
        <v>0.12</v>
      </c>
      <c r="C4" s="38">
        <f>'File Properties'!$B3*'File Properties'!G3</f>
        <v>3.2600000000000004E-2</v>
      </c>
      <c r="D4" s="38">
        <f>'File Properties'!$B3*'File Properties'!J3</f>
        <v>0.15480000000000002</v>
      </c>
      <c r="E4" s="38">
        <f>(B4*'Quality Attributes Parameters'!$C$2)+(C4*'Quality Attributes Parameters'!$C$3)+(D4*'Quality Attributes Parameters'!$C$4)</f>
        <v>0.10826666666666668</v>
      </c>
    </row>
    <row r="5" spans="1:5" ht="15" x14ac:dyDescent="0.25">
      <c r="A5" s="37" t="s">
        <v>49</v>
      </c>
      <c r="B5" s="38">
        <f>'File Properties'!$B4*'File Properties'!D4</f>
        <v>2.0000000000000004E-2</v>
      </c>
      <c r="C5" s="38">
        <f>'File Properties'!$B4*'File Properties'!G4</f>
        <v>3.1600000000000003E-2</v>
      </c>
      <c r="D5" s="38">
        <f>'File Properties'!$B4*'File Properties'!J4</f>
        <v>2.52E-2</v>
      </c>
      <c r="E5" s="38">
        <f>(B5*'Quality Attributes Parameters'!$C$2)+(C5*'Quality Attributes Parameters'!$C$3)+(D5*'Quality Attributes Parameters'!$C$4)</f>
        <v>2.6466666666666666E-2</v>
      </c>
    </row>
    <row r="6" spans="1:5" ht="15" x14ac:dyDescent="0.25">
      <c r="A6" s="37" t="s">
        <v>50</v>
      </c>
      <c r="B6" s="38">
        <f>'File Properties'!$B4*'File Properties'!D4</f>
        <v>2.0000000000000004E-2</v>
      </c>
      <c r="C6" s="38">
        <f>'File Properties'!$B4*'File Properties'!G4</f>
        <v>3.1600000000000003E-2</v>
      </c>
      <c r="D6" s="38">
        <f>'File Properties'!$B4*'File Properties'!J4</f>
        <v>2.52E-2</v>
      </c>
      <c r="E6" s="38">
        <f>(B6*'Quality Attributes Parameters'!$C$2)+(C6*'Quality Attributes Parameters'!$C$3)+(D6*'Quality Attributes Parameters'!$C$4)</f>
        <v>2.6466666666666666E-2</v>
      </c>
    </row>
    <row r="7" spans="1:5" ht="15" x14ac:dyDescent="0.25">
      <c r="A7" s="37" t="s">
        <v>54</v>
      </c>
      <c r="B7" s="38">
        <f>'File Properties'!$B4*'File Properties'!D4</f>
        <v>2.0000000000000004E-2</v>
      </c>
      <c r="C7" s="38">
        <f>'File Properties'!$B4*'File Properties'!G4</f>
        <v>3.1600000000000003E-2</v>
      </c>
      <c r="D7" s="38">
        <f>'File Properties'!$B4*'File Properties'!J4</f>
        <v>2.52E-2</v>
      </c>
      <c r="E7" s="38">
        <f>(B7*'Quality Attributes Parameters'!$C$2)+(C7*'Quality Attributes Parameters'!$C$3)+(D7*'Quality Attributes Parameters'!$C$4)</f>
        <v>2.6466666666666666E-2</v>
      </c>
    </row>
    <row r="8" spans="1:5" ht="15" x14ac:dyDescent="0.25">
      <c r="A8" s="37" t="s">
        <v>55</v>
      </c>
      <c r="B8" s="38">
        <f>'File Properties'!$B5*'File Properties'!D5</f>
        <v>0.12</v>
      </c>
      <c r="C8" s="38">
        <f>'File Properties'!$B5*'File Properties'!G5</f>
        <v>0.2319</v>
      </c>
      <c r="D8" s="38">
        <f>'File Properties'!$B5*'File Properties'!J5</f>
        <v>0.22019999999999998</v>
      </c>
      <c r="E8" s="38">
        <f>(B8*'Quality Attributes Parameters'!$C$2)+(C8*'Quality Attributes Parameters'!$C$3)+(D8*'Quality Attributes Parameters'!$C$4)</f>
        <v>0.20739999999999997</v>
      </c>
    </row>
    <row r="9" spans="1:5" ht="15" x14ac:dyDescent="0.25">
      <c r="A9" s="37" t="s">
        <v>42</v>
      </c>
      <c r="B9" s="38">
        <f>'File Properties'!$B5*'File Properties'!D5</f>
        <v>0.12</v>
      </c>
      <c r="C9" s="38">
        <f>'File Properties'!$B5*'File Properties'!G5</f>
        <v>0.2319</v>
      </c>
      <c r="D9" s="38">
        <f>'File Properties'!$B5*'File Properties'!J5</f>
        <v>0.22019999999999998</v>
      </c>
      <c r="E9" s="38">
        <f>(B9*'Quality Attributes Parameters'!$C$2)+(C9*'Quality Attributes Parameters'!$C$3)+(D9*'Quality Attributes Parameters'!$C$4)</f>
        <v>0.20739999999999997</v>
      </c>
    </row>
    <row r="10" spans="1:5" ht="15" x14ac:dyDescent="0.25">
      <c r="A10" s="37" t="s">
        <v>43</v>
      </c>
      <c r="B10" s="38">
        <f>'File Properties'!$B6*'File Properties'!D6</f>
        <v>4.0000000000000008E-2</v>
      </c>
      <c r="C10" s="38">
        <f>'File Properties'!$B6*'File Properties'!G6</f>
        <v>1.4800000000000001E-2</v>
      </c>
      <c r="D10" s="38">
        <f>'File Properties'!$B6*'File Properties'!J6</f>
        <v>5.8400000000000001E-2</v>
      </c>
      <c r="E10" s="38">
        <f>(B10*'Quality Attributes Parameters'!$C$2)+(C10*'Quality Attributes Parameters'!$C$3)+(D10*'Quality Attributes Parameters'!$C$4)</f>
        <v>4.0800000000000003E-2</v>
      </c>
    </row>
    <row r="11" spans="1:5" ht="15" x14ac:dyDescent="0.25">
      <c r="A11" s="37" t="s">
        <v>56</v>
      </c>
      <c r="B11" s="38">
        <f>'File Properties'!$B7*'File Properties'!D7</f>
        <v>2.0000000000000004E-2</v>
      </c>
      <c r="C11" s="38">
        <f>'File Properties'!$B7*'File Properties'!G7</f>
        <v>1.7999999999999999E-2</v>
      </c>
      <c r="D11" s="38">
        <f>'File Properties'!$B7*'File Properties'!J7</f>
        <v>6.1600000000000002E-2</v>
      </c>
      <c r="E11" s="38">
        <f>(B11*'Quality Attributes Parameters'!$C$2)+(C11*'Quality Attributes Parameters'!$C$3)+(D11*'Quality Attributes Parameters'!$C$4)</f>
        <v>4.0133333333333333E-2</v>
      </c>
    </row>
    <row r="12" spans="1:5" ht="15" x14ac:dyDescent="0.25">
      <c r="A12" s="37" t="s">
        <v>51</v>
      </c>
      <c r="B12" s="38">
        <f>'File Properties'!$B7*'File Properties'!D7</f>
        <v>2.0000000000000004E-2</v>
      </c>
      <c r="C12" s="38">
        <f>'File Properties'!$B7*'File Properties'!G7</f>
        <v>1.7999999999999999E-2</v>
      </c>
      <c r="D12" s="38">
        <f>'File Properties'!$B7*'File Properties'!J7</f>
        <v>6.1600000000000002E-2</v>
      </c>
      <c r="E12" s="38">
        <f>(B12*'Quality Attributes Parameters'!$C$2)+(C12*'Quality Attributes Parameters'!$C$3)+(D12*'Quality Attributes Parameters'!$C$4)</f>
        <v>4.0133333333333333E-2</v>
      </c>
    </row>
    <row r="13" spans="1:5" ht="15" x14ac:dyDescent="0.25">
      <c r="A13" s="37" t="s">
        <v>44</v>
      </c>
      <c r="B13" s="38">
        <f>'File Properties'!$B7*'File Properties'!D7</f>
        <v>2.0000000000000004E-2</v>
      </c>
      <c r="C13" s="38">
        <f>'File Properties'!$B7*'File Properties'!G7</f>
        <v>1.7999999999999999E-2</v>
      </c>
      <c r="D13" s="38">
        <f>'File Properties'!$B7*'File Properties'!J7</f>
        <v>6.1600000000000002E-2</v>
      </c>
      <c r="E13" s="38">
        <f>(B13*'Quality Attributes Parameters'!$C$2)+(C13*'Quality Attributes Parameters'!$C$3)+(D13*'Quality Attributes Parameters'!$C$4)</f>
        <v>4.0133333333333333E-2</v>
      </c>
    </row>
    <row r="14" spans="1:5" ht="15" x14ac:dyDescent="0.25">
      <c r="A14" s="37" t="s">
        <v>45</v>
      </c>
      <c r="B14" s="38">
        <f>'File Properties'!$B8*'File Properties'!D8</f>
        <v>2.0000000000000004E-2</v>
      </c>
      <c r="C14" s="38">
        <f>'File Properties'!$B8*'File Properties'!G8</f>
        <v>5.1400000000000001E-2</v>
      </c>
      <c r="D14" s="38">
        <f>'File Properties'!$B8*'File Properties'!J8</f>
        <v>1.54E-2</v>
      </c>
      <c r="E14" s="38">
        <f>(B14*'Quality Attributes Parameters'!$C$2)+(C14*'Quality Attributes Parameters'!$C$3)+(D14*'Quality Attributes Parameters'!$C$4)</f>
        <v>2.8166666666666666E-2</v>
      </c>
    </row>
    <row r="15" spans="1:5" ht="15" x14ac:dyDescent="0.25">
      <c r="A15" s="37" t="s">
        <v>52</v>
      </c>
      <c r="B15" s="38">
        <f>'File Properties'!$B8*'File Properties'!D8</f>
        <v>2.0000000000000004E-2</v>
      </c>
      <c r="C15" s="38">
        <f>'File Properties'!$B8*'File Properties'!G8</f>
        <v>5.1400000000000001E-2</v>
      </c>
      <c r="D15" s="38">
        <f>'File Properties'!$B8*'File Properties'!J8</f>
        <v>1.54E-2</v>
      </c>
      <c r="E15" s="38">
        <f>(B15*'Quality Attributes Parameters'!$C$2)+(C15*'Quality Attributes Parameters'!$C$3)+(D15*'Quality Attributes Parameters'!$C$4)</f>
        <v>2.8166666666666666E-2</v>
      </c>
    </row>
    <row r="16" spans="1:5" ht="15" x14ac:dyDescent="0.25">
      <c r="A16" s="37" t="s">
        <v>46</v>
      </c>
      <c r="B16" s="38">
        <f>'File Properties'!$B8*'File Properties'!D8</f>
        <v>2.0000000000000004E-2</v>
      </c>
      <c r="C16" s="38">
        <f>'File Properties'!$B8*'File Properties'!G8</f>
        <v>5.1400000000000001E-2</v>
      </c>
      <c r="D16" s="38">
        <f>'File Properties'!$B8*'File Properties'!J8</f>
        <v>1.54E-2</v>
      </c>
      <c r="E16" s="38">
        <f>(B16*'Quality Attributes Parameters'!$C$2)+(C16*'Quality Attributes Parameters'!$C$3)+(D16*'Quality Attributes Parameters'!$C$4)</f>
        <v>2.8166666666666666E-2</v>
      </c>
    </row>
    <row r="17" spans="1:1" x14ac:dyDescent="0.2">
      <c r="A17" s="36"/>
    </row>
  </sheetData>
  <mergeCells count="2">
    <mergeCell ref="A1:A2"/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68DA-C131-4B9B-9780-B444454CB2A4}">
  <dimension ref="A1:T18"/>
  <sheetViews>
    <sheetView tabSelected="1" workbookViewId="0">
      <selection activeCell="I21" sqref="I21"/>
    </sheetView>
  </sheetViews>
  <sheetFormatPr defaultRowHeight="12.75" x14ac:dyDescent="0.2"/>
  <cols>
    <col min="8" max="8" width="15.42578125" customWidth="1"/>
    <col min="12" max="12" width="11.85546875" customWidth="1"/>
    <col min="13" max="13" width="16.42578125" customWidth="1"/>
    <col min="17" max="17" width="13.5703125" customWidth="1"/>
  </cols>
  <sheetData>
    <row r="1" spans="1:20" x14ac:dyDescent="0.2">
      <c r="A1" s="55" t="s">
        <v>20</v>
      </c>
      <c r="B1" s="56" t="s">
        <v>105</v>
      </c>
      <c r="C1" s="55"/>
      <c r="D1" s="55"/>
      <c r="E1" s="55"/>
      <c r="F1" s="55"/>
      <c r="G1" s="55"/>
      <c r="H1" s="55" t="s">
        <v>106</v>
      </c>
      <c r="I1" s="55"/>
      <c r="J1" s="55" t="s">
        <v>107</v>
      </c>
      <c r="K1" s="55"/>
      <c r="L1" s="55"/>
      <c r="M1" s="55"/>
      <c r="N1" s="35"/>
      <c r="O1" s="56" t="s">
        <v>57</v>
      </c>
      <c r="P1" s="55"/>
      <c r="Q1" s="55"/>
      <c r="R1" s="55"/>
      <c r="S1" s="56" t="s">
        <v>108</v>
      </c>
      <c r="T1" s="55"/>
    </row>
    <row r="2" spans="1:20" x14ac:dyDescent="0.2">
      <c r="A2" s="55"/>
      <c r="B2" s="36" t="s">
        <v>35</v>
      </c>
      <c r="C2" s="36" t="s">
        <v>36</v>
      </c>
      <c r="D2" s="36" t="s">
        <v>37</v>
      </c>
      <c r="E2" s="36" t="s">
        <v>38</v>
      </c>
      <c r="F2" s="36" t="s">
        <v>89</v>
      </c>
      <c r="G2" s="36" t="s">
        <v>112</v>
      </c>
      <c r="H2" s="36" t="s">
        <v>32</v>
      </c>
      <c r="I2" s="36" t="s">
        <v>112</v>
      </c>
      <c r="J2" s="36" t="s">
        <v>113</v>
      </c>
      <c r="K2" s="36" t="s">
        <v>114</v>
      </c>
      <c r="L2" s="36" t="s">
        <v>115</v>
      </c>
      <c r="M2" s="36" t="s">
        <v>38</v>
      </c>
      <c r="N2" s="36" t="s">
        <v>112</v>
      </c>
      <c r="O2" s="36" t="s">
        <v>116</v>
      </c>
      <c r="P2" s="36" t="s">
        <v>117</v>
      </c>
      <c r="Q2" s="36" t="s">
        <v>118</v>
      </c>
      <c r="R2" s="36" t="s">
        <v>119</v>
      </c>
      <c r="S2" s="36" t="s">
        <v>32</v>
      </c>
      <c r="T2" s="36" t="s">
        <v>39</v>
      </c>
    </row>
    <row r="3" spans="1:20" ht="15" x14ac:dyDescent="0.25">
      <c r="A3" s="37" t="s">
        <v>41</v>
      </c>
      <c r="B3" s="38">
        <f>('TD - Interest Calculation'!B3*0.5)+('TD-Obstacle Mapping'!$L3*0.5)</f>
        <v>0.36</v>
      </c>
      <c r="C3" s="38">
        <f>('TD - Interest Calculation'!C3*0.5)+('TD-Obstacle Mapping'!$L3*0.5)</f>
        <v>0.31629999999999997</v>
      </c>
      <c r="D3" s="38">
        <f>('TD - Interest Calculation'!D3*0.5)+('TD-Obstacle Mapping'!$L3*0.5)</f>
        <v>0.37740000000000001</v>
      </c>
      <c r="E3" s="38">
        <f>((B3)*'Quality Attributes Parameters'!$C$2)+((C3)*'Quality Attributes Parameters'!$C$3)+((D3)*'Quality Attributes Parameters'!$C$4)</f>
        <v>0.3541333333333333</v>
      </c>
      <c r="F3" s="38">
        <f t="shared" ref="F3:F16" si="0">AVERAGE(B3:D3)</f>
        <v>0.35123333333333329</v>
      </c>
      <c r="G3" s="38">
        <f t="shared" ref="G3:G16" si="1">RANK(F3,$F$3:$F$16,0)</f>
        <v>4</v>
      </c>
      <c r="H3" s="38">
        <f>(COUNTIF('Scenario - Description'!$I$3:'Scenario - Description'!$S$5,A3)*'TD-Obstacle Mapping'!H3)/'Scenario - Scenario Score'!$B$6</f>
        <v>0.34307496823379924</v>
      </c>
      <c r="I3" s="38">
        <f t="shared" ref="I3:I16" si="2">RANK(H3,$H$3:$H$16)</f>
        <v>1</v>
      </c>
      <c r="J3" s="38">
        <f>(COUNTIF('Scenario - Description'!$I$3:'Scenario - Description'!$S$3,A3)*'TD-Obstacle Mapping'!$H3)/'Scenario - Scenario Score'!$B$3</f>
        <v>0.58064516129032262</v>
      </c>
      <c r="K3" s="38">
        <f>(COUNTIF('Scenario - Description'!$I$4:'Scenario - Description'!$S$4,A3)*'TD-Obstacle Mapping'!$H3)/'Scenario - Scenario Score'!$B$4</f>
        <v>0.26470588235294118</v>
      </c>
      <c r="L3" s="38">
        <f>(COUNTIF('Scenario - Description'!$I$5:'Scenario - Description'!$S$5,A3)*'TD-Obstacle Mapping'!$H3)/'Scenario - Scenario Score'!$B$5</f>
        <v>0.30821917808219179</v>
      </c>
      <c r="M3" s="38">
        <f>(J3*'Scenario - Description'!$D$3)*'Scenario - Description'!$G$3+(K3*'Scenario - Description'!$D$4)*'Scenario - Description'!$G$4+(L3*'Scenario - Description'!$D$5)*'Scenario - Description'!$G$5</f>
        <v>0.19175648527178182</v>
      </c>
      <c r="N3" s="38">
        <f t="shared" ref="N3:N16" si="3">RANK(M3,$M$3:$M$16)</f>
        <v>1</v>
      </c>
      <c r="O3" s="38">
        <f>(F3*0.7)+(H3*0.1)+(M3*0.1)+('TD-Obstacle Mapping'!G3*0.1)</f>
        <v>0.30481541607895019</v>
      </c>
      <c r="P3" s="38">
        <f t="shared" ref="P3:P16" si="4">RANK(O3,$O$3:$O$16)</f>
        <v>3</v>
      </c>
      <c r="Q3" s="38">
        <f>(E3*0.7)+(H3*0.1)+(M3*0.1)+('TD-Obstacle Mapping'!G3*0.1)</f>
        <v>0.30684541607895016</v>
      </c>
      <c r="R3" s="38">
        <f t="shared" ref="R3:R16" si="5">RANK(Q3,$Q$3:$Q$16)</f>
        <v>2</v>
      </c>
      <c r="S3" s="38">
        <f t="shared" ref="S3:S16" si="6">(B3*0.5)+(C3*0.5)</f>
        <v>0.33814999999999995</v>
      </c>
      <c r="T3" s="38">
        <f t="shared" ref="T3:T16" si="7">RANK(S3,$S$3:$S$16)</f>
        <v>4</v>
      </c>
    </row>
    <row r="4" spans="1:20" ht="15" x14ac:dyDescent="0.25">
      <c r="A4" s="37" t="s">
        <v>48</v>
      </c>
      <c r="B4" s="38">
        <f>('TD - Interest Calculation'!B4*0.5)+('TD-Obstacle Mapping'!$L4*0.5)</f>
        <v>0.26</v>
      </c>
      <c r="C4" s="38">
        <f>('TD - Interest Calculation'!C4*0.5)+('TD-Obstacle Mapping'!$L4*0.5)</f>
        <v>0.21630000000000002</v>
      </c>
      <c r="D4" s="38">
        <f>('TD - Interest Calculation'!D4*0.5)+('TD-Obstacle Mapping'!$L4*0.5)</f>
        <v>0.27740000000000004</v>
      </c>
      <c r="E4" s="38">
        <f>((B4)*'Quality Attributes Parameters'!$C$2)+((C4)*'Quality Attributes Parameters'!$C$3)+((D4)*'Quality Attributes Parameters'!$C$4)</f>
        <v>0.25413333333333332</v>
      </c>
      <c r="F4" s="38">
        <f t="shared" si="0"/>
        <v>0.25123333333333336</v>
      </c>
      <c r="G4" s="38">
        <f t="shared" si="1"/>
        <v>7</v>
      </c>
      <c r="H4" s="38">
        <v>0</v>
      </c>
      <c r="I4" s="38">
        <f t="shared" si="2"/>
        <v>12</v>
      </c>
      <c r="J4" s="38" t="e">
        <f>(COUNTIF('Scenario - Description'!$I$3:'Scenario - Description'!$S$3,A4)*'TD-Obstacle Mapping'!$H4)/'Scenario - Scenario Score'!$B$3</f>
        <v>#VALUE!</v>
      </c>
      <c r="K4" s="38" t="e">
        <f>(COUNTIF('Scenario - Description'!$I$4:'Scenario - Description'!$S$4,A4)*'TD-Obstacle Mapping'!$H4)/'Scenario - Scenario Score'!$B$4</f>
        <v>#VALUE!</v>
      </c>
      <c r="L4" s="38" t="e">
        <f>(COUNTIF('Scenario - Description'!$I$5:'Scenario - Description'!$S$5,A4)*'TD-Obstacle Mapping'!$H4)/'Scenario - Scenario Score'!$B$5</f>
        <v>#VALUE!</v>
      </c>
      <c r="M4" s="38">
        <v>0</v>
      </c>
      <c r="N4" s="38">
        <f t="shared" si="3"/>
        <v>12</v>
      </c>
      <c r="O4" s="36">
        <v>0</v>
      </c>
      <c r="P4" s="38">
        <f t="shared" si="4"/>
        <v>12</v>
      </c>
      <c r="Q4" s="38">
        <f>(E4*0.7)+(H4*0.1)+(M4*0.1)+('TD-Obstacle Mapping'!G4*0.1)</f>
        <v>0.18616869912848802</v>
      </c>
      <c r="R4" s="38">
        <f t="shared" si="5"/>
        <v>7</v>
      </c>
      <c r="S4" s="38">
        <f t="shared" si="6"/>
        <v>0.23815000000000003</v>
      </c>
      <c r="T4" s="38">
        <f t="shared" si="7"/>
        <v>7</v>
      </c>
    </row>
    <row r="5" spans="1:20" ht="15" x14ac:dyDescent="0.25">
      <c r="A5" s="37" t="s">
        <v>49</v>
      </c>
      <c r="B5" s="38">
        <f>('TD - Interest Calculation'!B5*0.5)+('TD-Obstacle Mapping'!$L5*0.5)</f>
        <v>0.21000000000000002</v>
      </c>
      <c r="C5" s="38">
        <f>('TD - Interest Calculation'!C5*0.5)+('TD-Obstacle Mapping'!$L5*0.5)</f>
        <v>0.21580000000000002</v>
      </c>
      <c r="D5" s="38">
        <f>('TD - Interest Calculation'!D5*0.5)+('TD-Obstacle Mapping'!$L5*0.5)</f>
        <v>0.21260000000000001</v>
      </c>
      <c r="E5" s="38">
        <f>((B5)*'Quality Attributes Parameters'!$C$2)+((C5)*'Quality Attributes Parameters'!$C$3)+((D5)*'Quality Attributes Parameters'!$C$4)</f>
        <v>0.21323333333333333</v>
      </c>
      <c r="F5" s="38">
        <f t="shared" si="0"/>
        <v>0.21280000000000002</v>
      </c>
      <c r="G5" s="38">
        <f t="shared" si="1"/>
        <v>8</v>
      </c>
      <c r="H5" s="38">
        <f>(COUNTIF('Scenario - Description'!$I$3:'Scenario - Description'!$S$5,A5)*'TD-Obstacle Mapping'!H5)/'Scenario - Scenario Score'!$B$6</f>
        <v>1.9059720457433291E-2</v>
      </c>
      <c r="I5" s="38">
        <f t="shared" si="2"/>
        <v>7</v>
      </c>
      <c r="J5" s="38">
        <f>(COUNTIF('Scenario - Description'!$I$3:'Scenario - Description'!$S$3,A5)*'TD-Obstacle Mapping'!$H5)/'Scenario - Scenario Score'!$B$3</f>
        <v>0</v>
      </c>
      <c r="K5" s="38">
        <f>(COUNTIF('Scenario - Description'!$I$4:'Scenario - Description'!$S$4,A5)*'TD-Obstacle Mapping'!$H5)/'Scenario - Scenario Score'!$B$4</f>
        <v>4.4117647058823532E-2</v>
      </c>
      <c r="L5" s="38">
        <f>(COUNTIF('Scenario - Description'!$I$5:'Scenario - Description'!$S$5,A5)*'TD-Obstacle Mapping'!$H5)/'Scenario - Scenario Score'!$B$5</f>
        <v>0</v>
      </c>
      <c r="M5" s="38">
        <f>(J5*'Scenario - Description'!$D$3)*'Scenario - Description'!$G$3+(K5*'Scenario - Description'!$D$4)*'Scenario - Description'!$G$4+(L5*'Scenario - Description'!$D$5)*'Scenario - Description'!$G$5</f>
        <v>6.6397058823529417E-3</v>
      </c>
      <c r="N5" s="38">
        <f t="shared" si="3"/>
        <v>9</v>
      </c>
      <c r="O5" s="38">
        <f>(F5*0.7)+(H5*0.1)+(M5*0.1)+('TD-Obstacle Mapping'!G5*0.1)</f>
        <v>0.1547201561144296</v>
      </c>
      <c r="P5" s="38">
        <f t="shared" si="4"/>
        <v>8</v>
      </c>
      <c r="Q5" s="38">
        <f>(E5*0.7)+(H5*0.1)+(M5*0.1)+('TD-Obstacle Mapping'!G5*0.1)</f>
        <v>0.15502348944776292</v>
      </c>
      <c r="R5" s="38">
        <f t="shared" si="5"/>
        <v>9</v>
      </c>
      <c r="S5" s="38">
        <f t="shared" si="6"/>
        <v>0.21290000000000003</v>
      </c>
      <c r="T5" s="38">
        <f t="shared" si="7"/>
        <v>8</v>
      </c>
    </row>
    <row r="6" spans="1:20" ht="15" x14ac:dyDescent="0.25">
      <c r="A6" s="37" t="s">
        <v>50</v>
      </c>
      <c r="B6" s="38">
        <f>('TD - Interest Calculation'!B6*0.5)+('TD-Obstacle Mapping'!$L6*0.5)</f>
        <v>0.36</v>
      </c>
      <c r="C6" s="38">
        <f>('TD - Interest Calculation'!C6*0.5)+('TD-Obstacle Mapping'!$L6*0.5)</f>
        <v>0.36579999999999996</v>
      </c>
      <c r="D6" s="38">
        <f>('TD - Interest Calculation'!D6*0.5)+('TD-Obstacle Mapping'!$L6*0.5)</f>
        <v>0.36259999999999998</v>
      </c>
      <c r="E6" s="38">
        <f>((B6)*'Quality Attributes Parameters'!$C$2)+((C6)*'Quality Attributes Parameters'!$C$3)+((D6)*'Quality Attributes Parameters'!$C$4)</f>
        <v>0.3632333333333333</v>
      </c>
      <c r="F6" s="38">
        <f t="shared" si="0"/>
        <v>0.36280000000000001</v>
      </c>
      <c r="G6" s="38">
        <f t="shared" si="1"/>
        <v>3</v>
      </c>
      <c r="H6" s="38">
        <f>(COUNTIF('Scenario - Description'!$I$3:'Scenario - Description'!$S$5,A6)*'TD-Obstacle Mapping'!H6)/'Scenario - Scenario Score'!$B$6</f>
        <v>0.33036848792884371</v>
      </c>
      <c r="I6" s="38">
        <f t="shared" si="2"/>
        <v>2</v>
      </c>
      <c r="J6" s="38">
        <f>(COUNTIF('Scenario - Description'!$I$3:'Scenario - Description'!$S$3,A6)*'TD-Obstacle Mapping'!$H6)/'Scenario - Scenario Score'!$B$3</f>
        <v>0</v>
      </c>
      <c r="K6" s="38">
        <f>(COUNTIF('Scenario - Description'!$I$4:'Scenario - Description'!$S$4,A6)*'TD-Obstacle Mapping'!$H6)/'Scenario - Scenario Score'!$B$4</f>
        <v>0.38235294117647056</v>
      </c>
      <c r="L6" s="38">
        <f>(COUNTIF('Scenario - Description'!$I$5:'Scenario - Description'!$S$5,A6)*'TD-Obstacle Mapping'!$H6)/'Scenario - Scenario Score'!$B$5</f>
        <v>0.4452054794520548</v>
      </c>
      <c r="M6" s="38">
        <f>(J6*'Scenario - Description'!$D$3)*'Scenario - Description'!$G$3+(K6*'Scenario - Description'!$D$4)*'Scenario - Description'!$G$4+(L6*'Scenario - Description'!$D$5)*'Scenario - Description'!$G$5</f>
        <v>6.6745030907469777E-2</v>
      </c>
      <c r="N6" s="38">
        <f t="shared" si="3"/>
        <v>3</v>
      </c>
      <c r="O6" s="38">
        <f>(F6*0.7)+(H6*0.1)+(M6*0.1)+('TD-Obstacle Mapping'!G6*0.1)</f>
        <v>0.30520889086180358</v>
      </c>
      <c r="P6" s="38">
        <f t="shared" si="4"/>
        <v>2</v>
      </c>
      <c r="Q6" s="38">
        <f>(E6*0.7)+(H6*0.1)+(M6*0.1)+('TD-Obstacle Mapping'!G6*0.1)</f>
        <v>0.30551222419513685</v>
      </c>
      <c r="R6" s="38">
        <f t="shared" si="5"/>
        <v>3</v>
      </c>
      <c r="S6" s="38">
        <f t="shared" si="6"/>
        <v>0.3629</v>
      </c>
      <c r="T6" s="38">
        <f t="shared" si="7"/>
        <v>3</v>
      </c>
    </row>
    <row r="7" spans="1:20" ht="15" x14ac:dyDescent="0.25">
      <c r="A7" s="37" t="s">
        <v>54</v>
      </c>
      <c r="B7" s="38">
        <f>('TD - Interest Calculation'!B7*0.5)+('TD-Obstacle Mapping'!$L7*0.5)</f>
        <v>7.0000000000000007E-2</v>
      </c>
      <c r="C7" s="38">
        <f>('TD - Interest Calculation'!C7*0.5)+('TD-Obstacle Mapping'!$L7*0.5)</f>
        <v>7.5800000000000006E-2</v>
      </c>
      <c r="D7" s="38">
        <f>('TD - Interest Calculation'!D7*0.5)+('TD-Obstacle Mapping'!$L7*0.5)</f>
        <v>7.2599999999999998E-2</v>
      </c>
      <c r="E7" s="38">
        <f>((B7)*'Quality Attributes Parameters'!$C$2)+((C7)*'Quality Attributes Parameters'!$C$3)+((D7)*'Quality Attributes Parameters'!$C$4)</f>
        <v>7.3233333333333331E-2</v>
      </c>
      <c r="F7" s="38">
        <f t="shared" si="0"/>
        <v>7.2800000000000004E-2</v>
      </c>
      <c r="G7" s="38">
        <f t="shared" si="1"/>
        <v>14</v>
      </c>
      <c r="H7" s="38">
        <v>0</v>
      </c>
      <c r="I7" s="38">
        <f t="shared" si="2"/>
        <v>12</v>
      </c>
      <c r="J7" s="38" t="e">
        <f>(COUNTIF('Scenario - Description'!$I$3:'Scenario - Description'!$S$3,A7)*'TD-Obstacle Mapping'!$H7)/'Scenario - Scenario Score'!$B$3</f>
        <v>#VALUE!</v>
      </c>
      <c r="K7" s="38" t="e">
        <f>(COUNTIF('Scenario - Description'!$I$4:'Scenario - Description'!$S$4,A7)*'TD-Obstacle Mapping'!$H7)/'Scenario - Scenario Score'!$B$4</f>
        <v>#VALUE!</v>
      </c>
      <c r="L7" s="38" t="e">
        <f>(COUNTIF('Scenario - Description'!$I$5:'Scenario - Description'!$S$5,A7)*'TD-Obstacle Mapping'!$H7)/'Scenario - Scenario Score'!$B$5</f>
        <v>#VALUE!</v>
      </c>
      <c r="M7" s="38">
        <v>0</v>
      </c>
      <c r="N7" s="38">
        <f t="shared" si="3"/>
        <v>12</v>
      </c>
      <c r="O7" s="36">
        <v>0</v>
      </c>
      <c r="P7" s="38">
        <f t="shared" si="4"/>
        <v>12</v>
      </c>
      <c r="Q7" s="38">
        <f>(E7*0.7)+(H7*0.1)+(M7*0.1)+('TD-Obstacle Mapping'!G7*0.1)</f>
        <v>6.1937355880706799E-2</v>
      </c>
      <c r="R7" s="38">
        <f t="shared" si="5"/>
        <v>13</v>
      </c>
      <c r="S7" s="38">
        <f t="shared" si="6"/>
        <v>7.2900000000000006E-2</v>
      </c>
      <c r="T7" s="38">
        <f t="shared" si="7"/>
        <v>14</v>
      </c>
    </row>
    <row r="8" spans="1:20" ht="15" x14ac:dyDescent="0.25">
      <c r="A8" s="37" t="s">
        <v>55</v>
      </c>
      <c r="B8" s="38">
        <f>('TD - Interest Calculation'!B8*0.5)+('TD-Obstacle Mapping'!$L8*0.5)</f>
        <v>0.13</v>
      </c>
      <c r="C8" s="38">
        <f>('TD - Interest Calculation'!C8*0.5)+('TD-Obstacle Mapping'!$L8*0.5)</f>
        <v>0.18595</v>
      </c>
      <c r="D8" s="38">
        <f>('TD - Interest Calculation'!D8*0.5)+('TD-Obstacle Mapping'!$L8*0.5)</f>
        <v>0.18009999999999998</v>
      </c>
      <c r="E8" s="38">
        <f>((B8)*'Quality Attributes Parameters'!$C$2)+((C8)*'Quality Attributes Parameters'!$C$3)+((D8)*'Quality Attributes Parameters'!$C$4)</f>
        <v>0.17369999999999999</v>
      </c>
      <c r="F8" s="38">
        <f t="shared" si="0"/>
        <v>0.16535</v>
      </c>
      <c r="G8" s="38">
        <f t="shared" si="1"/>
        <v>10</v>
      </c>
      <c r="H8" s="38">
        <f>(COUNTIF('Scenario - Description'!$I$3:'Scenario - Description'!$S$5,A8)*'TD-Obstacle Mapping'!H8)/'Scenario - Scenario Score'!$B$6</f>
        <v>6.3532401524777635E-3</v>
      </c>
      <c r="I8" s="38">
        <f t="shared" si="2"/>
        <v>10</v>
      </c>
      <c r="J8" s="38">
        <f>(COUNTIF('Scenario - Description'!$I$3:'Scenario - Description'!$S$3,A8)*'TD-Obstacle Mapping'!$H8)/'Scenario - Scenario Score'!$B$3</f>
        <v>0</v>
      </c>
      <c r="K8" s="38">
        <f>(COUNTIF('Scenario - Description'!$I$4:'Scenario - Description'!$S$4,A8)*'TD-Obstacle Mapping'!$H8)/'Scenario - Scenario Score'!$B$4</f>
        <v>0</v>
      </c>
      <c r="L8" s="38">
        <f>(COUNTIF('Scenario - Description'!$I$5:'Scenario - Description'!$S$5,A8)*'TD-Obstacle Mapping'!$H8)/'Scenario - Scenario Score'!$B$5</f>
        <v>1.7123287671232876E-2</v>
      </c>
      <c r="M8" s="38">
        <f>(J8*'Scenario - Description'!$D$3)*'Scenario - Description'!$G$3+(K8*'Scenario - Description'!$D$4)*'Scenario - Description'!$G$4+(L8*'Scenario - Description'!$D$5)*'Scenario - Description'!$G$5</f>
        <v>3.5388127924657531E-4</v>
      </c>
      <c r="N8" s="38">
        <f t="shared" si="3"/>
        <v>10</v>
      </c>
      <c r="O8" s="38">
        <f>(F8*0.7)+(H8*0.1)+(M8*0.1)+('TD-Obstacle Mapping'!G8*0.1)</f>
        <v>0.1241873600203612</v>
      </c>
      <c r="P8" s="38">
        <f t="shared" si="4"/>
        <v>9</v>
      </c>
      <c r="Q8" s="38">
        <f>(E8*0.7)+(H8*0.1)+(M8*0.1)+('TD-Obstacle Mapping'!G8*0.1)</f>
        <v>0.1300323600203612</v>
      </c>
      <c r="R8" s="38">
        <f t="shared" si="5"/>
        <v>10</v>
      </c>
      <c r="S8" s="38">
        <f t="shared" si="6"/>
        <v>0.157975</v>
      </c>
      <c r="T8" s="38">
        <f t="shared" si="7"/>
        <v>10</v>
      </c>
    </row>
    <row r="9" spans="1:20" ht="15" x14ac:dyDescent="0.25">
      <c r="A9" s="37" t="s">
        <v>42</v>
      </c>
      <c r="B9" s="38">
        <f>('TD - Interest Calculation'!B9*0.5)+('TD-Obstacle Mapping'!$L9*0.5)</f>
        <v>0.44</v>
      </c>
      <c r="C9" s="38">
        <f>('TD - Interest Calculation'!C9*0.5)+('TD-Obstacle Mapping'!$L9*0.5)</f>
        <v>0.49595</v>
      </c>
      <c r="D9" s="38">
        <f>('TD - Interest Calculation'!D9*0.5)+('TD-Obstacle Mapping'!$L9*0.5)</f>
        <v>0.49009999999999998</v>
      </c>
      <c r="E9" s="38">
        <f>((B9)*'Quality Attributes Parameters'!$C$2)+((C9)*'Quality Attributes Parameters'!$C$3)+((D9)*'Quality Attributes Parameters'!$C$4)</f>
        <v>0.48370000000000002</v>
      </c>
      <c r="F9" s="38">
        <f t="shared" si="0"/>
        <v>0.47534999999999999</v>
      </c>
      <c r="G9" s="38">
        <f t="shared" si="1"/>
        <v>1</v>
      </c>
      <c r="H9" s="38">
        <f>(COUNTIF('Scenario - Description'!$I$3:'Scenario - Description'!$S$5,A9)*'TD-Obstacle Mapping'!H9)/'Scenario - Scenario Score'!$B$6</f>
        <v>3.8119440914866583E-2</v>
      </c>
      <c r="I9" s="38">
        <f t="shared" si="2"/>
        <v>4</v>
      </c>
      <c r="J9" s="38">
        <f>(COUNTIF('Scenario - Description'!$I$3:'Scenario - Description'!$S$3,A9)*'TD-Obstacle Mapping'!$H9)/'Scenario - Scenario Score'!$B$3</f>
        <v>6.4516129032258063E-2</v>
      </c>
      <c r="K9" s="38">
        <f>(COUNTIF('Scenario - Description'!$I$4:'Scenario - Description'!$S$4,A9)*'TD-Obstacle Mapping'!$H9)/'Scenario - Scenario Score'!$B$4</f>
        <v>2.9411764705882353E-2</v>
      </c>
      <c r="L9" s="38">
        <f>(COUNTIF('Scenario - Description'!$I$5:'Scenario - Description'!$S$5,A9)*'TD-Obstacle Mapping'!$H9)/'Scenario - Scenario Score'!$B$5</f>
        <v>3.4246575342465752E-2</v>
      </c>
      <c r="M9" s="38">
        <f>(J9*'Scenario - Description'!$D$3)*'Scenario - Description'!$G$3+(K9*'Scenario - Description'!$D$4)*'Scenario - Description'!$G$4+(L9*'Scenario - Description'!$D$5)*'Scenario - Description'!$G$5</f>
        <v>2.1306276141309092E-2</v>
      </c>
      <c r="N9" s="38">
        <f t="shared" si="3"/>
        <v>4</v>
      </c>
      <c r="O9" s="38">
        <f>(F9*0.7)+(H9*0.1)+(M9*0.1)+('TD-Obstacle Mapping'!G9*0.1)</f>
        <v>0.351664304735121</v>
      </c>
      <c r="P9" s="38">
        <f t="shared" si="4"/>
        <v>1</v>
      </c>
      <c r="Q9" s="38">
        <f>(E9*0.7)+(H9*0.1)+(M9*0.1)+('TD-Obstacle Mapping'!G9*0.1)</f>
        <v>0.35750930473512105</v>
      </c>
      <c r="R9" s="38">
        <f t="shared" si="5"/>
        <v>1</v>
      </c>
      <c r="S9" s="38">
        <f t="shared" si="6"/>
        <v>0.46797500000000003</v>
      </c>
      <c r="T9" s="38">
        <f t="shared" si="7"/>
        <v>1</v>
      </c>
    </row>
    <row r="10" spans="1:20" ht="15" x14ac:dyDescent="0.25">
      <c r="A10" s="37" t="s">
        <v>43</v>
      </c>
      <c r="B10" s="38">
        <f>('TD - Interest Calculation'!B10*0.5)+('TD-Obstacle Mapping'!$L10*0.5)</f>
        <v>0.20500000000000002</v>
      </c>
      <c r="C10" s="38">
        <f>('TD - Interest Calculation'!C10*0.5)+('TD-Obstacle Mapping'!$L10*0.5)</f>
        <v>0.19239999999999999</v>
      </c>
      <c r="D10" s="38">
        <f>('TD - Interest Calculation'!D10*0.5)+('TD-Obstacle Mapping'!$L10*0.5)</f>
        <v>0.2142</v>
      </c>
      <c r="E10" s="38">
        <f>((B10)*'Quality Attributes Parameters'!$C$2)+((C10)*'Quality Attributes Parameters'!$C$3)+((D10)*'Quality Attributes Parameters'!$C$4)</f>
        <v>0.20539999999999997</v>
      </c>
      <c r="F10" s="38">
        <f t="shared" si="0"/>
        <v>0.20386666666666664</v>
      </c>
      <c r="G10" s="38">
        <f t="shared" si="1"/>
        <v>9</v>
      </c>
      <c r="H10" s="38">
        <f>(COUNTIF('Scenario - Description'!$I$3:'Scenario - Description'!$S$5,A10)*'TD-Obstacle Mapping'!H10)/'Scenario - Scenario Score'!$B$6</f>
        <v>0.17153748411689962</v>
      </c>
      <c r="I10" s="38">
        <f t="shared" si="2"/>
        <v>3</v>
      </c>
      <c r="J10" s="38">
        <f>(COUNTIF('Scenario - Description'!$I$3:'Scenario - Description'!$S$3,A10)*'TD-Obstacle Mapping'!$H10)/'Scenario - Scenario Score'!$B$3</f>
        <v>0.29032258064516131</v>
      </c>
      <c r="K10" s="38">
        <f>(COUNTIF('Scenario - Description'!$I$4:'Scenario - Description'!$S$4,A10)*'TD-Obstacle Mapping'!$H10)/'Scenario - Scenario Score'!$B$4</f>
        <v>0.13235294117647059</v>
      </c>
      <c r="L10" s="38">
        <f>(COUNTIF('Scenario - Description'!$I$5:'Scenario - Description'!$S$5,A10)*'TD-Obstacle Mapping'!$H10)/'Scenario - Scenario Score'!$B$5</f>
        <v>0.1541095890410959</v>
      </c>
      <c r="M10" s="38">
        <f>(J10*'Scenario - Description'!$D$3)*'Scenario - Description'!$G$3+(K10*'Scenario - Description'!$D$4)*'Scenario - Description'!$G$4+(L10*'Scenario - Description'!$D$5)*'Scenario - Description'!$G$5</f>
        <v>9.5878242635890912E-2</v>
      </c>
      <c r="N10" s="38">
        <f t="shared" si="3"/>
        <v>2</v>
      </c>
      <c r="O10" s="38">
        <f>(F10*0.7)+(H10*0.1)+(M10*0.1)+('TD-Obstacle Mapping'!G10*0.1)</f>
        <v>0.17134317817619851</v>
      </c>
      <c r="P10" s="38">
        <f t="shared" si="4"/>
        <v>7</v>
      </c>
      <c r="Q10" s="38">
        <f>(E10*0.7)+(H10*0.1)+(M10*0.1)+('TD-Obstacle Mapping'!G10*0.1)</f>
        <v>0.17241651150953183</v>
      </c>
      <c r="R10" s="38">
        <f t="shared" si="5"/>
        <v>8</v>
      </c>
      <c r="S10" s="38">
        <f t="shared" si="6"/>
        <v>0.19869999999999999</v>
      </c>
      <c r="T10" s="38">
        <f t="shared" si="7"/>
        <v>9</v>
      </c>
    </row>
    <row r="11" spans="1:20" ht="15" x14ac:dyDescent="0.25">
      <c r="A11" s="37" t="s">
        <v>56</v>
      </c>
      <c r="B11" s="38">
        <f>('TD - Interest Calculation'!B11*0.5)+('TD-Obstacle Mapping'!$L11*0.5)</f>
        <v>0.38500000000000001</v>
      </c>
      <c r="C11" s="38">
        <f>('TD - Interest Calculation'!C11*0.5)+('TD-Obstacle Mapping'!$L11*0.5)</f>
        <v>0.38400000000000001</v>
      </c>
      <c r="D11" s="38">
        <f>('TD - Interest Calculation'!D11*0.5)+('TD-Obstacle Mapping'!$L11*0.5)</f>
        <v>0.40579999999999999</v>
      </c>
      <c r="E11" s="38">
        <f>((B11)*'Quality Attributes Parameters'!$C$2)+((C11)*'Quality Attributes Parameters'!$C$3)+((D11)*'Quality Attributes Parameters'!$C$4)</f>
        <v>0.39506666666666668</v>
      </c>
      <c r="F11" s="38">
        <f t="shared" si="0"/>
        <v>0.3916</v>
      </c>
      <c r="G11" s="38">
        <f t="shared" si="1"/>
        <v>2</v>
      </c>
      <c r="H11" s="38">
        <f>(COUNTIF('Scenario - Description'!$I$3:'Scenario - Description'!$S$5,A11)*'TD-Obstacle Mapping'!H11)/'Scenario - Scenario Score'!$B$6</f>
        <v>2.5412960609911056E-3</v>
      </c>
      <c r="I11" s="38">
        <f t="shared" si="2"/>
        <v>11</v>
      </c>
      <c r="J11" s="38">
        <f>(COUNTIF('Scenario - Description'!$I$3:'Scenario - Description'!$S$3,A11)*'TD-Obstacle Mapping'!$H11)/'Scenario - Scenario Score'!$B$3</f>
        <v>0</v>
      </c>
      <c r="K11" s="38">
        <f>(COUNTIF('Scenario - Description'!$I$4:'Scenario - Description'!$S$4,A11)*'TD-Obstacle Mapping'!$H11)/'Scenario - Scenario Score'!$B$4</f>
        <v>0</v>
      </c>
      <c r="L11" s="38">
        <f>(COUNTIF('Scenario - Description'!$I$5:'Scenario - Description'!$S$5,A11)*'TD-Obstacle Mapping'!$H11)/'Scenario - Scenario Score'!$B$5</f>
        <v>6.8493150684931503E-3</v>
      </c>
      <c r="M11" s="38">
        <f>(J11*'Scenario - Description'!$D$3)*'Scenario - Description'!$G$3+(K11*'Scenario - Description'!$D$4)*'Scenario - Description'!$G$4+(L11*'Scenario - Description'!$D$5)*'Scenario - Description'!$G$5</f>
        <v>1.4155251169863011E-4</v>
      </c>
      <c r="N11" s="38">
        <f t="shared" si="3"/>
        <v>11</v>
      </c>
      <c r="O11" s="38">
        <f>(F11*0.7)+(H11*0.1)+(M11*0.1)+('TD-Obstacle Mapping'!G11*0.1)</f>
        <v>0.27856194760612962</v>
      </c>
      <c r="P11" s="38">
        <f t="shared" si="4"/>
        <v>4</v>
      </c>
      <c r="Q11" s="38">
        <f>(E11*0.7)+(H11*0.1)+(M11*0.1)+('TD-Obstacle Mapping'!G11*0.1)</f>
        <v>0.28098861427279631</v>
      </c>
      <c r="R11" s="38">
        <f t="shared" si="5"/>
        <v>4</v>
      </c>
      <c r="S11" s="38">
        <f t="shared" si="6"/>
        <v>0.38450000000000001</v>
      </c>
      <c r="T11" s="38">
        <f t="shared" si="7"/>
        <v>2</v>
      </c>
    </row>
    <row r="12" spans="1:20" ht="15" x14ac:dyDescent="0.25">
      <c r="A12" s="37" t="s">
        <v>51</v>
      </c>
      <c r="B12" s="38">
        <f>('TD - Interest Calculation'!B12*0.5)+('TD-Obstacle Mapping'!$L12*0.5)</f>
        <v>0.33500000000000002</v>
      </c>
      <c r="C12" s="38">
        <f>('TD - Interest Calculation'!C12*0.5)+('TD-Obstacle Mapping'!$L12*0.5)</f>
        <v>0.33400000000000002</v>
      </c>
      <c r="D12" s="38">
        <f>('TD - Interest Calculation'!D12*0.5)+('TD-Obstacle Mapping'!$L12*0.5)</f>
        <v>0.35580000000000001</v>
      </c>
      <c r="E12" s="38">
        <f>((B12)*'Quality Attributes Parameters'!$C$2)+((C12)*'Quality Attributes Parameters'!$C$3)+((D12)*'Quality Attributes Parameters'!$C$4)</f>
        <v>0.34506666666666669</v>
      </c>
      <c r="F12" s="38">
        <f t="shared" si="0"/>
        <v>0.34159999999999996</v>
      </c>
      <c r="G12" s="38">
        <f t="shared" si="1"/>
        <v>5</v>
      </c>
      <c r="H12" s="38">
        <f>(COUNTIF('Scenario - Description'!$I$3:'Scenario - Description'!$S$5,A12)*'TD-Obstacle Mapping'!H12)/'Scenario - Scenario Score'!$B$6</f>
        <v>2.5412960609911054E-2</v>
      </c>
      <c r="I12" s="38">
        <f t="shared" si="2"/>
        <v>5</v>
      </c>
      <c r="J12" s="38">
        <f>(COUNTIF('Scenario - Description'!$I$3:'Scenario - Description'!$S$3,A12)*'TD-Obstacle Mapping'!$H12)/'Scenario - Scenario Score'!$B$3</f>
        <v>0</v>
      </c>
      <c r="K12" s="38">
        <f>(COUNTIF('Scenario - Description'!$I$4:'Scenario - Description'!$S$4,A12)*'TD-Obstacle Mapping'!$H12)/'Scenario - Scenario Score'!$B$4</f>
        <v>5.8823529411764705E-2</v>
      </c>
      <c r="L12" s="38">
        <f>(COUNTIF('Scenario - Description'!$I$5:'Scenario - Description'!$S$5,A12)*'TD-Obstacle Mapping'!$H12)/'Scenario - Scenario Score'!$B$5</f>
        <v>0</v>
      </c>
      <c r="M12" s="38">
        <f>(J12*'Scenario - Description'!$D$3)*'Scenario - Description'!$G$3+(K12*'Scenario - Description'!$D$4)*'Scenario - Description'!$G$4+(L12*'Scenario - Description'!$D$5)*'Scenario - Description'!$G$5</f>
        <v>8.8529411764705877E-3</v>
      </c>
      <c r="N12" s="38">
        <f t="shared" si="3"/>
        <v>7</v>
      </c>
      <c r="O12" s="38">
        <f>(F12*0.7)+(H12*0.1)+(M12*0.1)+('TD-Obstacle Mapping'!G12*0.1)</f>
        <v>0.25329257242857817</v>
      </c>
      <c r="P12" s="38">
        <f t="shared" si="4"/>
        <v>5</v>
      </c>
      <c r="Q12" s="38">
        <f>(E12*0.7)+(H12*0.1)+(M12*0.1)+('TD-Obstacle Mapping'!G12*0.1)</f>
        <v>0.25571923909524485</v>
      </c>
      <c r="R12" s="38">
        <f t="shared" si="5"/>
        <v>5</v>
      </c>
      <c r="S12" s="38">
        <f t="shared" si="6"/>
        <v>0.33450000000000002</v>
      </c>
      <c r="T12" s="38">
        <f t="shared" si="7"/>
        <v>5</v>
      </c>
    </row>
    <row r="13" spans="1:20" ht="15" x14ac:dyDescent="0.25">
      <c r="A13" s="37" t="s">
        <v>44</v>
      </c>
      <c r="B13" s="38">
        <f>('TD - Interest Calculation'!B13*0.5)+('TD-Obstacle Mapping'!$L13*0.5)</f>
        <v>0.245</v>
      </c>
      <c r="C13" s="38">
        <f>('TD - Interest Calculation'!C13*0.5)+('TD-Obstacle Mapping'!$L13*0.5)</f>
        <v>0.24399999999999999</v>
      </c>
      <c r="D13" s="38">
        <f>('TD - Interest Calculation'!D13*0.5)+('TD-Obstacle Mapping'!$L13*0.5)</f>
        <v>0.26579999999999998</v>
      </c>
      <c r="E13" s="38">
        <f>((B13)*'Quality Attributes Parameters'!$C$2)+((C13)*'Quality Attributes Parameters'!$C$3)+((D13)*'Quality Attributes Parameters'!$C$4)</f>
        <v>0.25506666666666666</v>
      </c>
      <c r="F13" s="38">
        <f t="shared" si="0"/>
        <v>0.25159999999999999</v>
      </c>
      <c r="G13" s="38">
        <f t="shared" si="1"/>
        <v>6</v>
      </c>
      <c r="H13" s="38">
        <f>(COUNTIF('Scenario - Description'!$I$3:'Scenario - Description'!$S$5,A13)*'TD-Obstacle Mapping'!H13)/'Scenario - Scenario Score'!$B$6</f>
        <v>1.9059720457433291E-2</v>
      </c>
      <c r="I13" s="38">
        <f t="shared" si="2"/>
        <v>7</v>
      </c>
      <c r="J13" s="38">
        <f>(COUNTIF('Scenario - Description'!$I$3:'Scenario - Description'!$S$3,A13)*'TD-Obstacle Mapping'!$H13)/'Scenario - Scenario Score'!$B$3</f>
        <v>3.2258064516129031E-2</v>
      </c>
      <c r="K13" s="38">
        <f>(COUNTIF('Scenario - Description'!$I$4:'Scenario - Description'!$S$4,A13)*'TD-Obstacle Mapping'!$H13)/'Scenario - Scenario Score'!$B$4</f>
        <v>1.4705882352941176E-2</v>
      </c>
      <c r="L13" s="38">
        <f>(COUNTIF('Scenario - Description'!$I$5:'Scenario - Description'!$S$5,A13)*'TD-Obstacle Mapping'!$H13)/'Scenario - Scenario Score'!$B$5</f>
        <v>1.7123287671232876E-2</v>
      </c>
      <c r="M13" s="38">
        <f>(J13*'Scenario - Description'!$D$3)*'Scenario - Description'!$G$3+(K13*'Scenario - Description'!$D$4)*'Scenario - Description'!$G$4+(L13*'Scenario - Description'!$D$5)*'Scenario - Description'!$G$5</f>
        <v>1.0653138070654546E-2</v>
      </c>
      <c r="N13" s="38">
        <f t="shared" si="3"/>
        <v>5</v>
      </c>
      <c r="O13" s="38">
        <f>(F13*0.7)+(H13*0.1)+(M13*0.1)+('TD-Obstacle Mapping'!G13*0.1)</f>
        <v>0.18551968594875504</v>
      </c>
      <c r="P13" s="38">
        <f t="shared" si="4"/>
        <v>6</v>
      </c>
      <c r="Q13" s="38">
        <f>(E13*0.7)+(H13*0.1)+(M13*0.1)+('TD-Obstacle Mapping'!G13*0.1)</f>
        <v>0.18794635261542172</v>
      </c>
      <c r="R13" s="38">
        <f t="shared" si="5"/>
        <v>6</v>
      </c>
      <c r="S13" s="38">
        <f t="shared" si="6"/>
        <v>0.2445</v>
      </c>
      <c r="T13" s="38">
        <f t="shared" si="7"/>
        <v>6</v>
      </c>
    </row>
    <row r="14" spans="1:20" ht="15" x14ac:dyDescent="0.25">
      <c r="A14" s="37" t="s">
        <v>45</v>
      </c>
      <c r="B14" s="38">
        <f>('TD - Interest Calculation'!B14*0.5)+('TD-Obstacle Mapping'!$L14*0.5)</f>
        <v>7.5000000000000011E-2</v>
      </c>
      <c r="C14" s="38">
        <f>('TD - Interest Calculation'!C14*0.5)+('TD-Obstacle Mapping'!$L14*0.5)</f>
        <v>9.0700000000000003E-2</v>
      </c>
      <c r="D14" s="38">
        <f>('TD - Interest Calculation'!D14*0.5)+('TD-Obstacle Mapping'!$L14*0.5)</f>
        <v>7.2700000000000001E-2</v>
      </c>
      <c r="E14" s="38">
        <f>((B14)*'Quality Attributes Parameters'!$C$2)+((C14)*'Quality Attributes Parameters'!$C$3)+((D14)*'Quality Attributes Parameters'!$C$4)</f>
        <v>7.9083333333333339E-2</v>
      </c>
      <c r="F14" s="38">
        <f t="shared" si="0"/>
        <v>7.9466666666666672E-2</v>
      </c>
      <c r="G14" s="38">
        <f t="shared" si="1"/>
        <v>12</v>
      </c>
      <c r="H14" s="38">
        <f>(COUNTIF('Scenario - Description'!$I$3:'Scenario - Description'!$S$5,A14)*'TD-Obstacle Mapping'!H14)/'Scenario - Scenario Score'!$B$6</f>
        <v>1.9059720457433291E-2</v>
      </c>
      <c r="I14" s="38">
        <f t="shared" si="2"/>
        <v>7</v>
      </c>
      <c r="J14" s="38">
        <f>(COUNTIF('Scenario - Description'!$I$3:'Scenario - Description'!$S$3,A14)*'TD-Obstacle Mapping'!$H14)/'Scenario - Scenario Score'!$B$3</f>
        <v>3.2258064516129031E-2</v>
      </c>
      <c r="K14" s="38">
        <f>(COUNTIF('Scenario - Description'!$I$4:'Scenario - Description'!$S$4,A14)*'TD-Obstacle Mapping'!$H14)/'Scenario - Scenario Score'!$B$4</f>
        <v>1.4705882352941176E-2</v>
      </c>
      <c r="L14" s="38">
        <f>(COUNTIF('Scenario - Description'!$I$5:'Scenario - Description'!$S$5,A14)*'TD-Obstacle Mapping'!$H14)/'Scenario - Scenario Score'!$B$5</f>
        <v>1.7123287671232876E-2</v>
      </c>
      <c r="M14" s="38">
        <f>(J14*'Scenario - Description'!$D$3)*'Scenario - Description'!$G$3+(K14*'Scenario - Description'!$D$4)*'Scenario - Description'!$G$4+(L14*'Scenario - Description'!$D$5)*'Scenario - Description'!$G$5</f>
        <v>1.0653138070654546E-2</v>
      </c>
      <c r="N14" s="38">
        <f t="shared" si="3"/>
        <v>5</v>
      </c>
      <c r="O14" s="38">
        <f>(F14*0.7)+(H14*0.1)+(M14*0.1)+('TD-Obstacle Mapping'!G14*0.1)</f>
        <v>6.3467225726479531E-2</v>
      </c>
      <c r="P14" s="38">
        <f t="shared" si="4"/>
        <v>11</v>
      </c>
      <c r="Q14" s="38">
        <f>(E14*0.7)+(H14*0.1)+(M14*0.1)+('TD-Obstacle Mapping'!G14*0.1)</f>
        <v>6.3198892393146203E-2</v>
      </c>
      <c r="R14" s="38">
        <f t="shared" si="5"/>
        <v>12</v>
      </c>
      <c r="S14" s="38">
        <f t="shared" si="6"/>
        <v>8.2850000000000007E-2</v>
      </c>
      <c r="T14" s="38">
        <f t="shared" si="7"/>
        <v>12</v>
      </c>
    </row>
    <row r="15" spans="1:20" ht="15" x14ac:dyDescent="0.25">
      <c r="A15" s="37" t="s">
        <v>52</v>
      </c>
      <c r="B15" s="38">
        <f>('TD - Interest Calculation'!B15*0.5)+('TD-Obstacle Mapping'!$L15*0.5)</f>
        <v>0.15000000000000002</v>
      </c>
      <c r="C15" s="38">
        <f>('TD - Interest Calculation'!C15*0.5)+('TD-Obstacle Mapping'!$L15*0.5)</f>
        <v>0.16570000000000001</v>
      </c>
      <c r="D15" s="38">
        <f>('TD - Interest Calculation'!D15*0.5)+('TD-Obstacle Mapping'!$L15*0.5)</f>
        <v>0.14770000000000003</v>
      </c>
      <c r="E15" s="38">
        <f>((B15)*'Quality Attributes Parameters'!$C$2)+((C15)*'Quality Attributes Parameters'!$C$3)+((D15)*'Quality Attributes Parameters'!$C$4)</f>
        <v>0.15408333333333335</v>
      </c>
      <c r="F15" s="38">
        <f t="shared" si="0"/>
        <v>0.15446666666666667</v>
      </c>
      <c r="G15" s="38">
        <f t="shared" si="1"/>
        <v>11</v>
      </c>
      <c r="H15" s="38">
        <f>(COUNTIF('Scenario - Description'!$I$3:'Scenario - Description'!$S$5,A15)*'TD-Obstacle Mapping'!H15)/'Scenario - Scenario Score'!$B$6</f>
        <v>2.5412960609911054E-2</v>
      </c>
      <c r="I15" s="38">
        <f t="shared" si="2"/>
        <v>5</v>
      </c>
      <c r="J15" s="38">
        <f>(COUNTIF('Scenario - Description'!$I$3:'Scenario - Description'!$S$3,A15)*'TD-Obstacle Mapping'!$H15)/'Scenario - Scenario Score'!$B$3</f>
        <v>0</v>
      </c>
      <c r="K15" s="38">
        <f>(COUNTIF('Scenario - Description'!$I$4:'Scenario - Description'!$S$4,A15)*'TD-Obstacle Mapping'!$H15)/'Scenario - Scenario Score'!$B$4</f>
        <v>5.8823529411764705E-2</v>
      </c>
      <c r="L15" s="38">
        <f>(COUNTIF('Scenario - Description'!$I$5:'Scenario - Description'!$S$5,A15)*'TD-Obstacle Mapping'!$H15)/'Scenario - Scenario Score'!$B$5</f>
        <v>0</v>
      </c>
      <c r="M15" s="38">
        <f>(J15*'Scenario - Description'!$D$3)*'Scenario - Description'!$G$3+(K15*'Scenario - Description'!$D$4)*'Scenario - Description'!$G$4+(L15*'Scenario - Description'!$D$5)*'Scenario - Description'!$G$5</f>
        <v>8.8529411764705877E-3</v>
      </c>
      <c r="N15" s="38">
        <f t="shared" si="3"/>
        <v>7</v>
      </c>
      <c r="O15" s="38">
        <f>(F15*0.7)+(H15*0.1)+(M15*0.1)+('TD-Obstacle Mapping'!G15*0.1)</f>
        <v>0.11692624797027483</v>
      </c>
      <c r="P15" s="38">
        <f t="shared" si="4"/>
        <v>10</v>
      </c>
      <c r="Q15" s="38">
        <f>(E15*0.7)+(H15*0.1)+(M15*0.1)+('TD-Obstacle Mapping'!G15*0.1)</f>
        <v>0.1166579146369415</v>
      </c>
      <c r="R15" s="38">
        <f t="shared" si="5"/>
        <v>11</v>
      </c>
      <c r="S15" s="38">
        <f t="shared" si="6"/>
        <v>0.15785000000000002</v>
      </c>
      <c r="T15" s="38">
        <f t="shared" si="7"/>
        <v>11</v>
      </c>
    </row>
    <row r="16" spans="1:20" ht="15" x14ac:dyDescent="0.25">
      <c r="A16" s="37" t="s">
        <v>46</v>
      </c>
      <c r="B16" s="38">
        <f>('TD - Interest Calculation'!B16*0.5)+('TD-Obstacle Mapping'!$L16*0.5)</f>
        <v>7.0000000000000007E-2</v>
      </c>
      <c r="C16" s="38">
        <f>('TD - Interest Calculation'!C16*0.5)+('TD-Obstacle Mapping'!$L16*0.5)</f>
        <v>8.5699999999999998E-2</v>
      </c>
      <c r="D16" s="38">
        <f>('TD - Interest Calculation'!D16*0.5)+('TD-Obstacle Mapping'!$L16*0.5)</f>
        <v>6.7699999999999996E-2</v>
      </c>
      <c r="E16" s="38">
        <f>((B16)*'Quality Attributes Parameters'!$C$2)+((C16)*'Quality Attributes Parameters'!$C$3)+((D16)*'Quality Attributes Parameters'!$C$4)</f>
        <v>7.4083333333333334E-2</v>
      </c>
      <c r="F16" s="38">
        <f t="shared" si="0"/>
        <v>7.4466666666666667E-2</v>
      </c>
      <c r="G16" s="38">
        <f t="shared" si="1"/>
        <v>13</v>
      </c>
      <c r="H16" s="38">
        <v>0</v>
      </c>
      <c r="I16" s="38">
        <f t="shared" si="2"/>
        <v>12</v>
      </c>
      <c r="J16" s="38" t="e">
        <f>(COUNTIF('Scenario - Description'!$I$3:'Scenario - Description'!$S$3,A16)*'TD-Obstacle Mapping'!$H16)/'Scenario - Scenario Score'!$B$3</f>
        <v>#VALUE!</v>
      </c>
      <c r="K16" s="38" t="e">
        <f>(COUNTIF('Scenario - Description'!$I$4:'Scenario - Description'!$S$4,A16)*'TD-Obstacle Mapping'!$H16)/'Scenario - Scenario Score'!$B$4</f>
        <v>#VALUE!</v>
      </c>
      <c r="L16" s="38" t="e">
        <f>(COUNTIF('Scenario - Description'!$I$5:'Scenario - Description'!$S$5,A16)*'TD-Obstacle Mapping'!$H16)/'Scenario - Scenario Score'!$B$5</f>
        <v>#VALUE!</v>
      </c>
      <c r="M16" s="38">
        <v>0</v>
      </c>
      <c r="N16" s="38">
        <f t="shared" si="3"/>
        <v>12</v>
      </c>
      <c r="O16" s="36">
        <v>0</v>
      </c>
      <c r="P16" s="38">
        <f t="shared" si="4"/>
        <v>12</v>
      </c>
      <c r="Q16" s="38">
        <f>(E16*0.7)+(H16*0.1)+(M16*0.1)+('TD-Obstacle Mapping'!G16*0.1)</f>
        <v>5.8478625969457104E-2</v>
      </c>
      <c r="R16" s="38">
        <f t="shared" si="5"/>
        <v>14</v>
      </c>
      <c r="S16" s="38">
        <f t="shared" si="6"/>
        <v>7.7850000000000003E-2</v>
      </c>
      <c r="T16" s="38">
        <f t="shared" si="7"/>
        <v>13</v>
      </c>
    </row>
    <row r="17" spans="1:20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8">
        <f>(E17*0.7)+(H17*0.1)+(M17*0.1)+('TD-Obstacle Mapping'!G17*0.1)</f>
        <v>0.1</v>
      </c>
      <c r="R17" s="36"/>
      <c r="S17" s="36"/>
      <c r="T17" s="36"/>
    </row>
    <row r="18" spans="1:20" x14ac:dyDescent="0.2">
      <c r="A18" s="12" t="s">
        <v>185</v>
      </c>
    </row>
  </sheetData>
  <mergeCells count="6">
    <mergeCell ref="A1:A2"/>
    <mergeCell ref="O1:R1"/>
    <mergeCell ref="S1:T1"/>
    <mergeCell ref="B1:G1"/>
    <mergeCell ref="H1:I1"/>
    <mergeCell ref="J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8B1C-4800-42D6-BF5F-3F0BAB4015AF}">
  <dimension ref="A1:AF37"/>
  <sheetViews>
    <sheetView workbookViewId="0">
      <selection activeCell="F10" sqref="F10"/>
    </sheetView>
  </sheetViews>
  <sheetFormatPr defaultRowHeight="12.75" x14ac:dyDescent="0.2"/>
  <cols>
    <col min="1" max="7" width="9.140625" style="36"/>
    <col min="8" max="8" width="23.7109375" style="36" customWidth="1"/>
    <col min="9" max="9" width="12.5703125" style="36" customWidth="1"/>
    <col min="10" max="14" width="9.140625" style="36"/>
    <col min="15" max="15" width="8.28515625" style="36" customWidth="1"/>
    <col min="16" max="28" width="9.140625" style="36"/>
    <col min="29" max="29" width="11" style="36" customWidth="1"/>
    <col min="30" max="16384" width="9.140625" style="36"/>
  </cols>
  <sheetData>
    <row r="1" spans="1:32" x14ac:dyDescent="0.2">
      <c r="A1" s="55" t="s">
        <v>20</v>
      </c>
      <c r="B1" s="36" t="s">
        <v>57</v>
      </c>
    </row>
    <row r="2" spans="1:32" x14ac:dyDescent="0.2">
      <c r="A2" s="55"/>
      <c r="B2" s="36" t="s">
        <v>58</v>
      </c>
      <c r="C2" s="36" t="s">
        <v>59</v>
      </c>
      <c r="D2" s="36" t="s">
        <v>60</v>
      </c>
      <c r="E2" s="36" t="s">
        <v>61</v>
      </c>
      <c r="F2" s="36" t="s">
        <v>62</v>
      </c>
      <c r="G2" s="36" t="s">
        <v>63</v>
      </c>
      <c r="H2" s="36" t="s">
        <v>64</v>
      </c>
      <c r="I2" s="36" t="s">
        <v>65</v>
      </c>
      <c r="J2" s="36" t="s">
        <v>66</v>
      </c>
      <c r="K2" s="36" t="s">
        <v>67</v>
      </c>
      <c r="L2" s="36" t="s">
        <v>68</v>
      </c>
      <c r="M2" s="36" t="s">
        <v>69</v>
      </c>
      <c r="O2" s="36" t="s">
        <v>70</v>
      </c>
      <c r="P2" s="36" t="s">
        <v>71</v>
      </c>
      <c r="R2" s="36" t="s">
        <v>72</v>
      </c>
      <c r="S2" s="36" t="s">
        <v>73</v>
      </c>
      <c r="U2" s="36" t="s">
        <v>74</v>
      </c>
      <c r="V2" s="36" t="s">
        <v>75</v>
      </c>
      <c r="X2" s="36" t="s">
        <v>76</v>
      </c>
      <c r="Y2" s="36" t="s">
        <v>77</v>
      </c>
      <c r="AA2" s="36" t="s">
        <v>78</v>
      </c>
      <c r="AB2" s="36" t="s">
        <v>79</v>
      </c>
      <c r="AD2" s="36" t="s">
        <v>80</v>
      </c>
      <c r="AE2" s="36" t="s">
        <v>81</v>
      </c>
    </row>
    <row r="3" spans="1:32" ht="15" x14ac:dyDescent="0.25">
      <c r="A3" s="37" t="s">
        <v>41</v>
      </c>
      <c r="B3" s="38">
        <f>'TD - TD score'!Q3</f>
        <v>0.30684541607895016</v>
      </c>
      <c r="C3" s="38">
        <f>'TD - TD score'!Q3</f>
        <v>0.30684541607895016</v>
      </c>
      <c r="D3" s="38">
        <f>'TD - TD score'!Q3</f>
        <v>0.30684541607895016</v>
      </c>
      <c r="E3" s="38">
        <f>RANK(B3,B$3:B$16,0)</f>
        <v>2</v>
      </c>
      <c r="F3" s="38">
        <f>RANK(C3,C$3:C$16)</f>
        <v>2</v>
      </c>
      <c r="G3" s="38">
        <f>RANK(D3,D$3:D$16)</f>
        <v>2</v>
      </c>
      <c r="H3" s="38">
        <f>RANK(E3,E$3:E$16,0)/$E$17</f>
        <v>0.26666666666666666</v>
      </c>
      <c r="I3" s="38">
        <f>-1*(H3*LOG(H3,2))</f>
        <v>0.50850415882893829</v>
      </c>
      <c r="J3" s="38">
        <f>RANK(F3,F$3:F$16,0)/$F$17</f>
        <v>0.17777777777777778</v>
      </c>
      <c r="K3" s="38">
        <f>-1*(J3*LOG(J3,2))</f>
        <v>0.44299610601416445</v>
      </c>
      <c r="L3" s="38">
        <f>RANK(G3,G$3:G$16,0)/$G$17</f>
        <v>0.19444444444444445</v>
      </c>
      <c r="M3" s="38">
        <f>-1*(L3*LOG(L3,2))</f>
        <v>0.45938862654702667</v>
      </c>
      <c r="O3" s="36">
        <v>1</v>
      </c>
      <c r="P3" s="38">
        <f t="shared" ref="P3:P16" si="0">O3/$O$17</f>
        <v>9.5238095238095247E-3</v>
      </c>
      <c r="Q3" s="38">
        <f t="shared" ref="Q3:Q16" si="1">-1*(P3*LOG(P3,2))</f>
        <v>6.3945195406344024E-2</v>
      </c>
      <c r="R3" s="36">
        <v>1</v>
      </c>
      <c r="S3" s="38">
        <f t="shared" ref="S3:S16" si="2">R3/$R$17</f>
        <v>7.1428571428571425E-2</v>
      </c>
      <c r="T3" s="38">
        <f t="shared" ref="T3:T16" si="3">-1*(S3*LOG(S3,2))</f>
        <v>0.27195392300411458</v>
      </c>
      <c r="U3" s="36">
        <v>1</v>
      </c>
      <c r="V3" s="38">
        <f t="shared" ref="V3:V13" si="4">U3/$U$17</f>
        <v>9.0909090909090912E-2</v>
      </c>
      <c r="W3" s="38">
        <f t="shared" ref="W3:W13" si="5">-1*(V3*LOG(V3,2))</f>
        <v>0.31449378351248164</v>
      </c>
      <c r="X3" s="38">
        <v>1</v>
      </c>
      <c r="Y3" s="38">
        <f>X3/$X$17</f>
        <v>6.6666666666666666E-2</v>
      </c>
      <c r="Z3" s="38">
        <f>-1*(Y3*LOG(Y3,2))</f>
        <v>0.26045937304056793</v>
      </c>
      <c r="AA3" s="38">
        <v>1</v>
      </c>
      <c r="AB3" s="38">
        <f>RANK(AA3,AA$3:AA$16,0)/$AA$17</f>
        <v>0.16666666666666666</v>
      </c>
      <c r="AC3" s="38">
        <f>-1*(AB3*LOG(AB3,2))</f>
        <v>0.43082708345352599</v>
      </c>
      <c r="AD3" s="38">
        <v>4</v>
      </c>
      <c r="AE3" s="38">
        <f t="shared" ref="AE3:AE16" si="6">RANK(AD3,AD$3:AD$16,0)/$AD$17</f>
        <v>0.10476190476190476</v>
      </c>
      <c r="AF3" s="38">
        <f t="shared" ref="AF3:AF16" si="7">-1*(AE3*LOG(AE3,2))</f>
        <v>0.34098050370778171</v>
      </c>
    </row>
    <row r="4" spans="1:32" ht="15" x14ac:dyDescent="0.25">
      <c r="A4" s="37" t="s">
        <v>48</v>
      </c>
      <c r="B4" s="38">
        <f>'TD - TD score'!O4</f>
        <v>0</v>
      </c>
      <c r="C4" s="38">
        <f>'TD - TD score'!O4</f>
        <v>0</v>
      </c>
      <c r="D4" s="38">
        <f>'TD - TD score'!O4</f>
        <v>0</v>
      </c>
      <c r="O4" s="36">
        <v>2</v>
      </c>
      <c r="P4" s="38">
        <f t="shared" si="0"/>
        <v>1.9047619047619049E-2</v>
      </c>
      <c r="Q4" s="38">
        <f t="shared" si="1"/>
        <v>0.10884277176506903</v>
      </c>
      <c r="R4" s="36">
        <v>1</v>
      </c>
      <c r="S4" s="38">
        <f t="shared" si="2"/>
        <v>7.1428571428571425E-2</v>
      </c>
      <c r="T4" s="38">
        <f t="shared" si="3"/>
        <v>0.27195392300411458</v>
      </c>
      <c r="U4" s="36">
        <v>1</v>
      </c>
      <c r="V4" s="38">
        <f t="shared" si="4"/>
        <v>9.0909090909090912E-2</v>
      </c>
      <c r="W4" s="38">
        <f t="shared" si="5"/>
        <v>0.31449378351248164</v>
      </c>
      <c r="AD4" s="38">
        <v>7</v>
      </c>
      <c r="AE4" s="38">
        <f t="shared" si="6"/>
        <v>7.6190476190476197E-2</v>
      </c>
      <c r="AF4" s="38">
        <f t="shared" si="7"/>
        <v>0.28299013467932366</v>
      </c>
    </row>
    <row r="5" spans="1:32" ht="15" x14ac:dyDescent="0.25">
      <c r="A5" s="37" t="s">
        <v>49</v>
      </c>
      <c r="B5" s="36">
        <v>0</v>
      </c>
      <c r="C5" s="38">
        <f>'TD - TD score'!Q5</f>
        <v>0.15502348944776292</v>
      </c>
      <c r="D5" s="36">
        <v>0</v>
      </c>
      <c r="F5" s="38">
        <f>RANK(C5,C$3:C$16)</f>
        <v>7</v>
      </c>
      <c r="J5" s="38">
        <f>RANK(F5,F$3:F$16,0)/$F$17</f>
        <v>6.6666666666666666E-2</v>
      </c>
      <c r="K5" s="38">
        <f>-1*(J5*LOG(J5,2))</f>
        <v>0.26045937304056793</v>
      </c>
      <c r="O5" s="36">
        <v>3</v>
      </c>
      <c r="P5" s="38">
        <f t="shared" si="0"/>
        <v>2.8571428571428571E-2</v>
      </c>
      <c r="Q5" s="38">
        <f t="shared" si="1"/>
        <v>0.14655094334128474</v>
      </c>
      <c r="R5" s="36">
        <v>1</v>
      </c>
      <c r="S5" s="38">
        <f t="shared" si="2"/>
        <v>7.1428571428571425E-2</v>
      </c>
      <c r="T5" s="38">
        <f t="shared" si="3"/>
        <v>0.27195392300411458</v>
      </c>
      <c r="U5" s="36">
        <v>1</v>
      </c>
      <c r="V5" s="38">
        <f t="shared" si="4"/>
        <v>9.0909090909090912E-2</v>
      </c>
      <c r="W5" s="38">
        <f t="shared" si="5"/>
        <v>0.31449378351248164</v>
      </c>
      <c r="X5" s="36">
        <v>1</v>
      </c>
      <c r="Y5" s="38">
        <f>X5/$X$17</f>
        <v>6.6666666666666666E-2</v>
      </c>
      <c r="Z5" s="38">
        <f>-1*(Y5*LOG(Y5,2))</f>
        <v>0.26045937304056793</v>
      </c>
      <c r="AA5" s="38">
        <v>5</v>
      </c>
      <c r="AB5" s="38">
        <f>RANK(AA5,AA$3:AA$16,0)/$AA$17</f>
        <v>0.10606060606060606</v>
      </c>
      <c r="AC5" s="38">
        <f>-1*(AB5*LOG(AB5,2))</f>
        <v>0.34332233910766585</v>
      </c>
      <c r="AD5" s="38">
        <v>8</v>
      </c>
      <c r="AE5" s="38">
        <f t="shared" si="6"/>
        <v>6.6666666666666666E-2</v>
      </c>
      <c r="AF5" s="38">
        <f t="shared" si="7"/>
        <v>0.26045937304056793</v>
      </c>
    </row>
    <row r="6" spans="1:32" ht="15" x14ac:dyDescent="0.25">
      <c r="A6" s="37" t="s">
        <v>50</v>
      </c>
      <c r="B6" s="36">
        <v>0</v>
      </c>
      <c r="C6" s="38">
        <f>'TD - TD score'!Q6</f>
        <v>0.30551222419513685</v>
      </c>
      <c r="D6" s="38">
        <f>'TD - TD score'!Q6</f>
        <v>0.30551222419513685</v>
      </c>
      <c r="F6" s="38">
        <f>RANK(C6,C$3:C$16)</f>
        <v>3</v>
      </c>
      <c r="G6" s="38">
        <f>RANK(D6,D$3:D$16)</f>
        <v>3</v>
      </c>
      <c r="J6" s="38">
        <f>RANK(F6,F$3:F$16,0)/$F$17</f>
        <v>0.15555555555555556</v>
      </c>
      <c r="K6" s="38">
        <f>-1*(J6*LOG(J6,2))</f>
        <v>0.41758860488676652</v>
      </c>
      <c r="L6" s="38">
        <f>RANK(G6,G$3:G$16,0)/$G$17</f>
        <v>0.16666666666666666</v>
      </c>
      <c r="M6" s="38">
        <f>-1*(L6*LOG(L6,2))</f>
        <v>0.43082708345352599</v>
      </c>
      <c r="O6" s="36">
        <v>4</v>
      </c>
      <c r="P6" s="38">
        <f t="shared" si="0"/>
        <v>3.8095238095238099E-2</v>
      </c>
      <c r="Q6" s="38">
        <f t="shared" si="1"/>
        <v>0.17959030543489993</v>
      </c>
      <c r="R6" s="36">
        <v>1</v>
      </c>
      <c r="S6" s="38">
        <f t="shared" si="2"/>
        <v>7.1428571428571425E-2</v>
      </c>
      <c r="T6" s="38">
        <f t="shared" si="3"/>
        <v>0.27195392300411458</v>
      </c>
      <c r="U6" s="36">
        <v>1</v>
      </c>
      <c r="V6" s="38">
        <f t="shared" si="4"/>
        <v>9.0909090909090912E-2</v>
      </c>
      <c r="W6" s="38">
        <f t="shared" si="5"/>
        <v>0.31449378351248164</v>
      </c>
      <c r="X6" s="36">
        <v>2</v>
      </c>
      <c r="Y6" s="38">
        <f>X6/$X$17</f>
        <v>0.13333333333333333</v>
      </c>
      <c r="Z6" s="38">
        <f>-1*(Y6*LOG(Y6,2))</f>
        <v>0.3875854127478025</v>
      </c>
      <c r="AA6" s="38">
        <v>11</v>
      </c>
      <c r="AB6" s="38">
        <f>RANK(AA6,AA$3:AA$16,0)/$AA$17</f>
        <v>1.5151515151515152E-2</v>
      </c>
      <c r="AC6" s="38">
        <f>-1*(AB6*LOG(AB6,2))</f>
        <v>9.1581729081188695E-2</v>
      </c>
      <c r="AD6" s="38">
        <v>3</v>
      </c>
      <c r="AE6" s="38">
        <f t="shared" si="6"/>
        <v>0.11428571428571428</v>
      </c>
      <c r="AF6" s="38">
        <f t="shared" si="7"/>
        <v>0.35763234479371048</v>
      </c>
    </row>
    <row r="7" spans="1:32" ht="15" x14ac:dyDescent="0.25">
      <c r="A7" s="37" t="s">
        <v>54</v>
      </c>
      <c r="B7" s="36">
        <v>0</v>
      </c>
      <c r="C7" s="38">
        <f>'TD - TD score'!O7</f>
        <v>0</v>
      </c>
      <c r="D7" s="38">
        <f>'TD - TD score'!O7</f>
        <v>0</v>
      </c>
      <c r="O7" s="36">
        <v>5</v>
      </c>
      <c r="P7" s="38">
        <f t="shared" si="0"/>
        <v>4.7619047619047616E-2</v>
      </c>
      <c r="Q7" s="38">
        <f t="shared" si="1"/>
        <v>0.20915797251327431</v>
      </c>
      <c r="R7" s="36">
        <v>1</v>
      </c>
      <c r="S7" s="38">
        <f t="shared" si="2"/>
        <v>7.1428571428571425E-2</v>
      </c>
      <c r="T7" s="38">
        <f t="shared" si="3"/>
        <v>0.27195392300411458</v>
      </c>
      <c r="U7" s="36">
        <v>1</v>
      </c>
      <c r="V7" s="38">
        <f t="shared" si="4"/>
        <v>9.0909090909090912E-2</v>
      </c>
      <c r="W7" s="38">
        <f t="shared" si="5"/>
        <v>0.31449378351248164</v>
      </c>
      <c r="AD7" s="38">
        <v>14</v>
      </c>
      <c r="AE7" s="38">
        <f t="shared" si="6"/>
        <v>9.5238095238095247E-3</v>
      </c>
      <c r="AF7" s="38">
        <f t="shared" si="7"/>
        <v>6.3945195406344024E-2</v>
      </c>
    </row>
    <row r="8" spans="1:32" ht="15" x14ac:dyDescent="0.25">
      <c r="A8" s="37" t="s">
        <v>55</v>
      </c>
      <c r="B8" s="36">
        <v>0</v>
      </c>
      <c r="C8" s="36">
        <v>0</v>
      </c>
      <c r="D8" s="38">
        <f>'TD - TD score'!Q8</f>
        <v>0.1300323600203612</v>
      </c>
      <c r="G8" s="38">
        <f>RANK(D8,D$3:D$16)</f>
        <v>7</v>
      </c>
      <c r="L8" s="38">
        <f>RANK(G8,G$3:G$16,0)/$G$17</f>
        <v>5.5555555555555552E-2</v>
      </c>
      <c r="M8" s="38">
        <f>-1*(L8*LOG(L8,2))</f>
        <v>0.23166250008012848</v>
      </c>
      <c r="O8" s="36">
        <v>6</v>
      </c>
      <c r="P8" s="38">
        <f t="shared" si="0"/>
        <v>5.7142857142857141E-2</v>
      </c>
      <c r="Q8" s="38">
        <f t="shared" si="1"/>
        <v>0.2359590295397124</v>
      </c>
      <c r="R8" s="36">
        <v>1</v>
      </c>
      <c r="S8" s="38">
        <f t="shared" si="2"/>
        <v>7.1428571428571425E-2</v>
      </c>
      <c r="T8" s="38">
        <f t="shared" si="3"/>
        <v>0.27195392300411458</v>
      </c>
      <c r="U8" s="36">
        <v>1</v>
      </c>
      <c r="V8" s="38">
        <f t="shared" si="4"/>
        <v>9.0909090909090912E-2</v>
      </c>
      <c r="W8" s="38">
        <f t="shared" si="5"/>
        <v>0.31449378351248164</v>
      </c>
      <c r="X8" s="36">
        <v>1</v>
      </c>
      <c r="Y8" s="38">
        <f t="shared" ref="Y8:Y15" si="8">X8/$X$17</f>
        <v>6.6666666666666666E-2</v>
      </c>
      <c r="Z8" s="38">
        <f t="shared" ref="Z8:Z15" si="9">-1*(Y8*LOG(Y8,2))</f>
        <v>0.26045937304056793</v>
      </c>
      <c r="AA8" s="38">
        <v>4</v>
      </c>
      <c r="AB8" s="38">
        <f t="shared" ref="AB8:AB15" si="10">RANK(AA8,AA$3:AA$16,0)/$AA$17</f>
        <v>0.12121212121212122</v>
      </c>
      <c r="AC8" s="38">
        <f t="shared" ref="AC8:AC15" si="11">-1*(AB8*LOG(AB8,2))</f>
        <v>0.36901746901314586</v>
      </c>
      <c r="AD8" s="38">
        <v>10</v>
      </c>
      <c r="AE8" s="38">
        <f t="shared" si="6"/>
        <v>4.7619047619047616E-2</v>
      </c>
      <c r="AF8" s="38">
        <f t="shared" si="7"/>
        <v>0.20915797251327431</v>
      </c>
    </row>
    <row r="9" spans="1:32" ht="15" x14ac:dyDescent="0.25">
      <c r="A9" s="37" t="s">
        <v>42</v>
      </c>
      <c r="B9" s="38">
        <f>'TD - TD score'!Q9</f>
        <v>0.35750930473512105</v>
      </c>
      <c r="C9" s="38">
        <f>'TD - TD score'!Q9</f>
        <v>0.35750930473512105</v>
      </c>
      <c r="D9" s="38">
        <f>'TD - TD score'!Q9</f>
        <v>0.35750930473512105</v>
      </c>
      <c r="E9" s="38">
        <f>RANK(B9,B$3:B$16)</f>
        <v>1</v>
      </c>
      <c r="F9" s="38">
        <f>RANK(C9,C$3:C$16)</f>
        <v>1</v>
      </c>
      <c r="G9" s="38">
        <f>RANK(D9,D$3:D$16)</f>
        <v>1</v>
      </c>
      <c r="H9" s="38">
        <f>RANK(E9,E$3:E$16,0)/$E$17</f>
        <v>0.33333333333333331</v>
      </c>
      <c r="I9" s="38">
        <f>-1*(H9*LOG(H9,2))</f>
        <v>0.52832083357371873</v>
      </c>
      <c r="J9" s="38">
        <f>RANK(F9,F$3:F$16,0)/$F$17</f>
        <v>0.2</v>
      </c>
      <c r="K9" s="38">
        <f>-1*(J9*LOG(J9,2))</f>
        <v>0.46438561897747244</v>
      </c>
      <c r="L9" s="38">
        <f>RANK(G9,G$3:G$16,0)/$G$17</f>
        <v>0.22222222222222221</v>
      </c>
      <c r="M9" s="38">
        <f>-1*(L9*LOG(L9,2))</f>
        <v>0.48220555587606945</v>
      </c>
      <c r="O9" s="36">
        <v>7</v>
      </c>
      <c r="P9" s="38">
        <f t="shared" si="0"/>
        <v>6.6666666666666666E-2</v>
      </c>
      <c r="Q9" s="38">
        <f t="shared" si="1"/>
        <v>0.26045937304056793</v>
      </c>
      <c r="R9" s="36">
        <v>1</v>
      </c>
      <c r="S9" s="38">
        <f t="shared" si="2"/>
        <v>7.1428571428571425E-2</v>
      </c>
      <c r="T9" s="38">
        <f t="shared" si="3"/>
        <v>0.27195392300411458</v>
      </c>
      <c r="U9" s="36">
        <v>1</v>
      </c>
      <c r="V9" s="38">
        <f t="shared" si="4"/>
        <v>9.0909090909090912E-2</v>
      </c>
      <c r="W9" s="38">
        <f t="shared" si="5"/>
        <v>0.31449378351248164</v>
      </c>
      <c r="X9" s="36">
        <v>1</v>
      </c>
      <c r="Y9" s="38">
        <f t="shared" si="8"/>
        <v>6.6666666666666666E-2</v>
      </c>
      <c r="Z9" s="38">
        <f t="shared" si="9"/>
        <v>0.26045937304056793</v>
      </c>
      <c r="AA9" s="38">
        <v>2</v>
      </c>
      <c r="AB9" s="38">
        <f t="shared" si="10"/>
        <v>0.15151515151515152</v>
      </c>
      <c r="AC9" s="38">
        <f t="shared" si="11"/>
        <v>0.41249485219258958</v>
      </c>
      <c r="AD9" s="38">
        <v>1</v>
      </c>
      <c r="AE9" s="38">
        <f t="shared" si="6"/>
        <v>0.13333333333333333</v>
      </c>
      <c r="AF9" s="38">
        <f t="shared" si="7"/>
        <v>0.3875854127478025</v>
      </c>
    </row>
    <row r="10" spans="1:32" ht="15" x14ac:dyDescent="0.25">
      <c r="A10" s="37" t="s">
        <v>43</v>
      </c>
      <c r="B10" s="38">
        <f>'TD - TD score'!Q10</f>
        <v>0.17241651150953183</v>
      </c>
      <c r="C10" s="38">
        <f>'TD - TD score'!Q10</f>
        <v>0.17241651150953183</v>
      </c>
      <c r="D10" s="38">
        <f>'TD - TD score'!Q10</f>
        <v>0.17241651150953183</v>
      </c>
      <c r="E10" s="38">
        <f>RANK(B10,B$3:B$16)</f>
        <v>4</v>
      </c>
      <c r="F10" s="38">
        <f>RANK(C10,C$3:C$16)</f>
        <v>6</v>
      </c>
      <c r="G10" s="38">
        <f>RANK(D10,D$3:D$16)</f>
        <v>6</v>
      </c>
      <c r="H10" s="38">
        <f>RANK(E10,E$3:E$16,0)/$E$17</f>
        <v>0.13333333333333333</v>
      </c>
      <c r="I10" s="38">
        <f>-1*(H10*LOG(H10,2))</f>
        <v>0.3875854127478025</v>
      </c>
      <c r="J10" s="38">
        <f>RANK(F10,F$3:F$16,0)/$F$17</f>
        <v>8.8888888888888892E-2</v>
      </c>
      <c r="K10" s="38">
        <f>-1*(J10*LOG(J10,2))</f>
        <v>0.31038694189597116</v>
      </c>
      <c r="L10" s="38">
        <f>RANK(G10,G$3:G$16,0)/$G$17</f>
        <v>8.3333333333333329E-2</v>
      </c>
      <c r="M10" s="38">
        <f>-1*(L10*LOG(L10,2))</f>
        <v>0.29874687506009634</v>
      </c>
      <c r="O10" s="36">
        <v>8</v>
      </c>
      <c r="P10" s="38">
        <f t="shared" si="0"/>
        <v>7.6190476190476197E-2</v>
      </c>
      <c r="Q10" s="38">
        <f t="shared" si="1"/>
        <v>0.28299013467932366</v>
      </c>
      <c r="R10" s="36">
        <v>1</v>
      </c>
      <c r="S10" s="38">
        <f t="shared" si="2"/>
        <v>7.1428571428571425E-2</v>
      </c>
      <c r="T10" s="38">
        <f t="shared" si="3"/>
        <v>0.27195392300411458</v>
      </c>
      <c r="U10" s="36">
        <v>1</v>
      </c>
      <c r="V10" s="38">
        <f t="shared" si="4"/>
        <v>9.0909090909090912E-2</v>
      </c>
      <c r="W10" s="38">
        <f t="shared" si="5"/>
        <v>0.31449378351248164</v>
      </c>
      <c r="X10" s="36">
        <v>1</v>
      </c>
      <c r="Y10" s="38">
        <f t="shared" si="8"/>
        <v>6.6666666666666666E-2</v>
      </c>
      <c r="Z10" s="38">
        <f t="shared" si="9"/>
        <v>0.26045937304056793</v>
      </c>
      <c r="AA10" s="38">
        <v>6</v>
      </c>
      <c r="AB10" s="38">
        <f t="shared" si="10"/>
        <v>9.0909090909090912E-2</v>
      </c>
      <c r="AC10" s="38">
        <f t="shared" si="11"/>
        <v>0.31449378351248164</v>
      </c>
      <c r="AD10" s="38">
        <v>9</v>
      </c>
      <c r="AE10" s="38">
        <f t="shared" si="6"/>
        <v>5.7142857142857141E-2</v>
      </c>
      <c r="AF10" s="38">
        <f t="shared" si="7"/>
        <v>0.2359590295397124</v>
      </c>
    </row>
    <row r="11" spans="1:32" ht="15" x14ac:dyDescent="0.25">
      <c r="A11" s="37" t="s">
        <v>56</v>
      </c>
      <c r="B11" s="36">
        <v>0</v>
      </c>
      <c r="C11" s="36">
        <v>0</v>
      </c>
      <c r="D11" s="38">
        <f>'TD - TD score'!Q11</f>
        <v>0.28098861427279631</v>
      </c>
      <c r="G11" s="38">
        <f>RANK(D11,D$3:D$16)</f>
        <v>4</v>
      </c>
      <c r="L11" s="38">
        <f>RANK(G11,G$3:G$16,0)/$G$17</f>
        <v>0.1388888888888889</v>
      </c>
      <c r="M11" s="38">
        <f>-1*(L11*LOG(L11,2))</f>
        <v>0.39555512591040976</v>
      </c>
      <c r="O11" s="36">
        <v>9</v>
      </c>
      <c r="P11" s="38">
        <f t="shared" si="0"/>
        <v>8.5714285714285715E-2</v>
      </c>
      <c r="Q11" s="38">
        <f t="shared" si="1"/>
        <v>0.30379890139061233</v>
      </c>
      <c r="R11" s="36">
        <v>1</v>
      </c>
      <c r="S11" s="38">
        <f t="shared" si="2"/>
        <v>7.1428571428571425E-2</v>
      </c>
      <c r="T11" s="38">
        <f t="shared" si="3"/>
        <v>0.27195392300411458</v>
      </c>
      <c r="U11" s="36">
        <v>1</v>
      </c>
      <c r="V11" s="38">
        <f t="shared" si="4"/>
        <v>9.0909090909090912E-2</v>
      </c>
      <c r="W11" s="38">
        <f t="shared" si="5"/>
        <v>0.31449378351248164</v>
      </c>
      <c r="X11" s="36">
        <v>2</v>
      </c>
      <c r="Y11" s="38">
        <f t="shared" si="8"/>
        <v>0.13333333333333333</v>
      </c>
      <c r="Z11" s="38">
        <f t="shared" si="9"/>
        <v>0.3875854127478025</v>
      </c>
      <c r="AA11" s="38">
        <v>8</v>
      </c>
      <c r="AB11" s="38">
        <f t="shared" si="10"/>
        <v>6.0606060606060608E-2</v>
      </c>
      <c r="AC11" s="38">
        <f t="shared" si="11"/>
        <v>0.24511479511263354</v>
      </c>
      <c r="AD11" s="38">
        <v>2</v>
      </c>
      <c r="AE11" s="38">
        <f t="shared" si="6"/>
        <v>0.12380952380952381</v>
      </c>
      <c r="AF11" s="38">
        <f t="shared" si="7"/>
        <v>0.37313786089357526</v>
      </c>
    </row>
    <row r="12" spans="1:32" ht="15" x14ac:dyDescent="0.25">
      <c r="A12" s="37" t="s">
        <v>51</v>
      </c>
      <c r="B12" s="36">
        <v>0</v>
      </c>
      <c r="C12" s="38">
        <f>'TD - TD score'!Q12</f>
        <v>0.25571923909524485</v>
      </c>
      <c r="D12" s="36">
        <v>0</v>
      </c>
      <c r="F12" s="38">
        <f>RANK(C12,C$3:C$16)</f>
        <v>4</v>
      </c>
      <c r="J12" s="38">
        <f>RANK(F12,F$3:F$16,0)/$F$17</f>
        <v>0.13333333333333333</v>
      </c>
      <c r="K12" s="38">
        <f>-1*(J12*LOG(J12,2))</f>
        <v>0.3875854127478025</v>
      </c>
      <c r="O12" s="36">
        <v>10</v>
      </c>
      <c r="P12" s="38">
        <f t="shared" si="0"/>
        <v>9.5238095238095233E-2</v>
      </c>
      <c r="Q12" s="38">
        <f t="shared" si="1"/>
        <v>0.32307784978845333</v>
      </c>
      <c r="R12" s="36">
        <v>1</v>
      </c>
      <c r="S12" s="38">
        <f t="shared" si="2"/>
        <v>7.1428571428571425E-2</v>
      </c>
      <c r="T12" s="38">
        <f t="shared" si="3"/>
        <v>0.27195392300411458</v>
      </c>
      <c r="U12" s="36">
        <v>1</v>
      </c>
      <c r="V12" s="38">
        <f t="shared" si="4"/>
        <v>9.0909090909090912E-2</v>
      </c>
      <c r="W12" s="38">
        <f t="shared" si="5"/>
        <v>0.31449378351248164</v>
      </c>
      <c r="X12" s="36">
        <v>2</v>
      </c>
      <c r="Y12" s="38">
        <f t="shared" si="8"/>
        <v>0.13333333333333333</v>
      </c>
      <c r="Z12" s="38">
        <f t="shared" si="9"/>
        <v>0.3875854127478025</v>
      </c>
      <c r="AA12" s="38">
        <v>9</v>
      </c>
      <c r="AB12" s="38">
        <f t="shared" si="10"/>
        <v>4.5454545454545456E-2</v>
      </c>
      <c r="AC12" s="38">
        <f t="shared" si="11"/>
        <v>0.20270143721078623</v>
      </c>
      <c r="AD12" s="38">
        <v>5</v>
      </c>
      <c r="AE12" s="38">
        <f t="shared" si="6"/>
        <v>9.5238095238095233E-2</v>
      </c>
      <c r="AF12" s="38">
        <f t="shared" si="7"/>
        <v>0.32307784978845333</v>
      </c>
    </row>
    <row r="13" spans="1:32" ht="15" x14ac:dyDescent="0.25">
      <c r="A13" s="37" t="s">
        <v>44</v>
      </c>
      <c r="B13" s="38">
        <f>'TD - TD score'!Q13</f>
        <v>0.18794635261542172</v>
      </c>
      <c r="C13" s="38">
        <f>'TD - TD score'!Q13</f>
        <v>0.18794635261542172</v>
      </c>
      <c r="D13" s="38">
        <f>'TD - TD score'!Q13</f>
        <v>0.18794635261542172</v>
      </c>
      <c r="E13" s="38">
        <f>RANK(B13,B$3:B$16)</f>
        <v>3</v>
      </c>
      <c r="F13" s="38">
        <f>RANK(C13,C$3:C$16)</f>
        <v>5</v>
      </c>
      <c r="G13" s="38">
        <f>RANK(D13,D$3:D$16)</f>
        <v>5</v>
      </c>
      <c r="H13" s="38">
        <f>RANK(E13,E$3:E$16,0)/$E$17</f>
        <v>0.2</v>
      </c>
      <c r="I13" s="38">
        <f>-1*(H13*LOG(H13,2))</f>
        <v>0.46438561897747244</v>
      </c>
      <c r="J13" s="38">
        <f>RANK(F13,F$3:F$16,0)/$F$17</f>
        <v>0.1111111111111111</v>
      </c>
      <c r="K13" s="38">
        <f>-1*(J13*LOG(J13,2))</f>
        <v>0.3522138890491458</v>
      </c>
      <c r="L13" s="38">
        <f>RANK(G13,G$3:G$16,0)/$G$17</f>
        <v>0.1111111111111111</v>
      </c>
      <c r="M13" s="38">
        <f>-1*(L13*LOG(L13,2))</f>
        <v>0.3522138890491458</v>
      </c>
      <c r="O13" s="36">
        <v>11</v>
      </c>
      <c r="P13" s="38">
        <f t="shared" si="0"/>
        <v>0.10476190476190476</v>
      </c>
      <c r="Q13" s="38">
        <f t="shared" si="1"/>
        <v>0.34098050370778171</v>
      </c>
      <c r="R13" s="36">
        <v>1</v>
      </c>
      <c r="S13" s="38">
        <f t="shared" si="2"/>
        <v>7.1428571428571425E-2</v>
      </c>
      <c r="T13" s="38">
        <f t="shared" si="3"/>
        <v>0.27195392300411458</v>
      </c>
      <c r="U13" s="36">
        <v>1</v>
      </c>
      <c r="V13" s="38">
        <f t="shared" si="4"/>
        <v>9.0909090909090912E-2</v>
      </c>
      <c r="W13" s="38">
        <f t="shared" si="5"/>
        <v>0.31449378351248164</v>
      </c>
      <c r="X13" s="36">
        <v>1</v>
      </c>
      <c r="Y13" s="38">
        <f t="shared" si="8"/>
        <v>6.6666666666666666E-2</v>
      </c>
      <c r="Z13" s="38">
        <f t="shared" si="9"/>
        <v>0.26045937304056793</v>
      </c>
      <c r="AA13" s="38">
        <v>3</v>
      </c>
      <c r="AB13" s="38">
        <f t="shared" si="10"/>
        <v>0.13636363636363635</v>
      </c>
      <c r="AC13" s="38">
        <f t="shared" si="11"/>
        <v>0.39197306153401923</v>
      </c>
      <c r="AD13" s="38">
        <v>6</v>
      </c>
      <c r="AE13" s="38">
        <f t="shared" si="6"/>
        <v>8.5714285714285715E-2</v>
      </c>
      <c r="AF13" s="38">
        <f t="shared" si="7"/>
        <v>0.30379890139061233</v>
      </c>
    </row>
    <row r="14" spans="1:32" ht="15" x14ac:dyDescent="0.25">
      <c r="A14" s="37" t="s">
        <v>45</v>
      </c>
      <c r="B14" s="38">
        <f>'TD - TD score'!Q14</f>
        <v>6.3198892393146203E-2</v>
      </c>
      <c r="C14" s="38">
        <f>'TD - TD score'!Q14</f>
        <v>6.3198892393146203E-2</v>
      </c>
      <c r="D14" s="38">
        <f>'TD - TD score'!Q14</f>
        <v>6.3198892393146203E-2</v>
      </c>
      <c r="E14" s="38">
        <f>RANK(B14,B$3:B$16)</f>
        <v>5</v>
      </c>
      <c r="F14" s="38">
        <f>RANK(C14,C$3:C$16)</f>
        <v>9</v>
      </c>
      <c r="G14" s="38">
        <f>RANK(D14,D$3:D$16)</f>
        <v>8</v>
      </c>
      <c r="H14" s="38">
        <f>RANK(E14,E$3:E$16,0)/$E$17</f>
        <v>6.6666666666666666E-2</v>
      </c>
      <c r="I14" s="38">
        <f>-1*(H14*LOG(H14,2))</f>
        <v>0.26045937304056793</v>
      </c>
      <c r="J14" s="38">
        <f>RANK(F14,F$3:F$16,0)/$F$17</f>
        <v>2.2222222222222223E-2</v>
      </c>
      <c r="K14" s="38">
        <f>-1*(J14*LOG(J14,2))</f>
        <v>0.12204117991843723</v>
      </c>
      <c r="L14" s="38">
        <f>RANK(G14,G$3:G$16,0)/$G$17</f>
        <v>2.7777777777777776E-2</v>
      </c>
      <c r="M14" s="38">
        <f>-1*(L14*LOG(L14,2))</f>
        <v>0.14360902781784199</v>
      </c>
      <c r="O14" s="36">
        <v>12</v>
      </c>
      <c r="P14" s="38">
        <f t="shared" si="0"/>
        <v>0.11428571428571428</v>
      </c>
      <c r="Q14" s="38">
        <f t="shared" si="1"/>
        <v>0.35763234479371048</v>
      </c>
      <c r="R14" s="36">
        <v>1</v>
      </c>
      <c r="S14" s="38">
        <f t="shared" si="2"/>
        <v>7.1428571428571425E-2</v>
      </c>
      <c r="T14" s="38">
        <f t="shared" si="3"/>
        <v>0.27195392300411458</v>
      </c>
      <c r="X14" s="36">
        <v>1</v>
      </c>
      <c r="Y14" s="38">
        <f t="shared" si="8"/>
        <v>6.6666666666666666E-2</v>
      </c>
      <c r="Z14" s="38">
        <f t="shared" si="9"/>
        <v>0.26045937304056793</v>
      </c>
      <c r="AA14" s="38">
        <v>7</v>
      </c>
      <c r="AB14" s="38">
        <f t="shared" si="10"/>
        <v>7.575757575757576E-2</v>
      </c>
      <c r="AC14" s="38">
        <f t="shared" si="11"/>
        <v>0.28200500185387056</v>
      </c>
      <c r="AD14" s="38">
        <v>12</v>
      </c>
      <c r="AE14" s="38">
        <f t="shared" si="6"/>
        <v>2.8571428571428571E-2</v>
      </c>
      <c r="AF14" s="38">
        <f t="shared" si="7"/>
        <v>0.14655094334128474</v>
      </c>
    </row>
    <row r="15" spans="1:32" ht="15" x14ac:dyDescent="0.25">
      <c r="A15" s="37" t="s">
        <v>52</v>
      </c>
      <c r="B15" s="36">
        <v>0</v>
      </c>
      <c r="C15" s="38">
        <f>'TD - TD score'!Q15</f>
        <v>0.1166579146369415</v>
      </c>
      <c r="D15" s="36">
        <v>0</v>
      </c>
      <c r="F15" s="38">
        <f>RANK(C15,C$3:C$16)</f>
        <v>8</v>
      </c>
      <c r="J15" s="38">
        <f>RANK(F15,F$3:F$16,0)/$F$17</f>
        <v>4.4444444444444446E-2</v>
      </c>
      <c r="K15" s="38">
        <f>-1*(J15*LOG(J15,2))</f>
        <v>0.19963791539243</v>
      </c>
      <c r="O15" s="36">
        <v>13</v>
      </c>
      <c r="P15" s="38">
        <f t="shared" si="0"/>
        <v>0.12380952380952381</v>
      </c>
      <c r="Q15" s="38">
        <f t="shared" si="1"/>
        <v>0.37313786089357526</v>
      </c>
      <c r="R15" s="36">
        <v>1</v>
      </c>
      <c r="S15" s="38">
        <f t="shared" si="2"/>
        <v>7.1428571428571425E-2</v>
      </c>
      <c r="T15" s="38">
        <f t="shared" si="3"/>
        <v>0.27195392300411458</v>
      </c>
      <c r="X15" s="36">
        <v>2</v>
      </c>
      <c r="Y15" s="38">
        <f t="shared" si="8"/>
        <v>0.13333333333333333</v>
      </c>
      <c r="Z15" s="38">
        <f t="shared" si="9"/>
        <v>0.3875854127478025</v>
      </c>
      <c r="AA15" s="38">
        <v>10</v>
      </c>
      <c r="AB15" s="38">
        <f t="shared" si="10"/>
        <v>3.0303030303030304E-2</v>
      </c>
      <c r="AC15" s="38">
        <f t="shared" si="11"/>
        <v>0.15286042785934709</v>
      </c>
      <c r="AD15" s="38">
        <v>11</v>
      </c>
      <c r="AE15" s="38">
        <f t="shared" si="6"/>
        <v>3.8095238095238099E-2</v>
      </c>
      <c r="AF15" s="38">
        <f t="shared" si="7"/>
        <v>0.17959030543489993</v>
      </c>
    </row>
    <row r="16" spans="1:32" ht="15" x14ac:dyDescent="0.25">
      <c r="A16" s="37" t="s">
        <v>46</v>
      </c>
      <c r="B16" s="38">
        <f>'TD - TD score'!O16</f>
        <v>0</v>
      </c>
      <c r="C16" s="38">
        <f>'TD - TD score'!O16</f>
        <v>0</v>
      </c>
      <c r="D16" s="38">
        <f>'TD - TD score'!O16</f>
        <v>0</v>
      </c>
      <c r="O16" s="36">
        <v>14</v>
      </c>
      <c r="P16" s="38">
        <f t="shared" si="0"/>
        <v>0.13333333333333333</v>
      </c>
      <c r="Q16" s="38">
        <f t="shared" si="1"/>
        <v>0.3875854127478025</v>
      </c>
      <c r="R16" s="36">
        <v>1</v>
      </c>
      <c r="S16" s="38">
        <f t="shared" si="2"/>
        <v>7.1428571428571425E-2</v>
      </c>
      <c r="T16" s="38">
        <f t="shared" si="3"/>
        <v>0.27195392300411458</v>
      </c>
      <c r="AD16" s="38">
        <v>13</v>
      </c>
      <c r="AE16" s="38">
        <f t="shared" si="6"/>
        <v>1.9047619047619049E-2</v>
      </c>
      <c r="AF16" s="38">
        <f t="shared" si="7"/>
        <v>0.10884277176506903</v>
      </c>
    </row>
    <row r="17" spans="5:32" x14ac:dyDescent="0.2">
      <c r="E17" s="38">
        <f t="shared" ref="E17:K17" si="12">SUM(E3:E16)</f>
        <v>15</v>
      </c>
      <c r="F17" s="38">
        <f t="shared" si="12"/>
        <v>45</v>
      </c>
      <c r="G17" s="38">
        <f t="shared" si="12"/>
        <v>36</v>
      </c>
      <c r="H17" s="38">
        <f t="shared" si="12"/>
        <v>1</v>
      </c>
      <c r="I17" s="40">
        <f t="shared" si="12"/>
        <v>2.1492553971685</v>
      </c>
      <c r="J17" s="38">
        <f t="shared" si="12"/>
        <v>1</v>
      </c>
      <c r="K17" s="40">
        <f t="shared" si="12"/>
        <v>2.9572950419227584</v>
      </c>
      <c r="M17" s="40">
        <f>SUM(M3:M16)</f>
        <v>2.7942086837942441</v>
      </c>
      <c r="O17" s="38">
        <f t="shared" ref="O17:AF17" si="13">SUM(O3:O16)</f>
        <v>105</v>
      </c>
      <c r="P17" s="38">
        <f t="shared" si="13"/>
        <v>1</v>
      </c>
      <c r="Q17" s="38">
        <f t="shared" si="13"/>
        <v>3.5737085990424124</v>
      </c>
      <c r="R17" s="38">
        <f t="shared" si="13"/>
        <v>14</v>
      </c>
      <c r="S17" s="38">
        <f t="shared" si="13"/>
        <v>0.99999999999999967</v>
      </c>
      <c r="T17" s="38">
        <f t="shared" si="13"/>
        <v>3.8073549220576055</v>
      </c>
      <c r="U17" s="38">
        <f t="shared" si="13"/>
        <v>11</v>
      </c>
      <c r="V17" s="38">
        <f t="shared" si="13"/>
        <v>1.0000000000000002</v>
      </c>
      <c r="W17" s="38">
        <f t="shared" si="13"/>
        <v>3.4594316186372982</v>
      </c>
      <c r="X17" s="38">
        <f t="shared" si="13"/>
        <v>15</v>
      </c>
      <c r="Y17" s="38">
        <f t="shared" si="13"/>
        <v>0.99999999999999989</v>
      </c>
      <c r="Z17" s="38">
        <f t="shared" si="13"/>
        <v>3.3735572622751859</v>
      </c>
      <c r="AA17" s="38">
        <f t="shared" si="13"/>
        <v>66</v>
      </c>
      <c r="AB17" s="38">
        <f t="shared" si="13"/>
        <v>1</v>
      </c>
      <c r="AC17" s="40">
        <f t="shared" si="13"/>
        <v>3.2363919799312542</v>
      </c>
      <c r="AD17" s="38">
        <f t="shared" si="13"/>
        <v>105</v>
      </c>
      <c r="AE17" s="38">
        <f t="shared" si="13"/>
        <v>1</v>
      </c>
      <c r="AF17" s="40">
        <f t="shared" si="13"/>
        <v>3.5737085990424111</v>
      </c>
    </row>
    <row r="18" spans="5:32" x14ac:dyDescent="0.2">
      <c r="E18" s="38"/>
      <c r="F18" s="38"/>
      <c r="G18" s="38"/>
      <c r="H18" s="36" t="s">
        <v>89</v>
      </c>
      <c r="I18" s="40">
        <f>AVERAGE(I17,K17,M17)</f>
        <v>2.6335863742951671</v>
      </c>
      <c r="J18" s="38"/>
      <c r="K18" s="40"/>
      <c r="M18" s="40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20" spans="5:32" ht="13.5" thickBot="1" x14ac:dyDescent="0.25"/>
    <row r="21" spans="5:32" x14ac:dyDescent="0.2">
      <c r="H21" s="41" t="s">
        <v>180</v>
      </c>
      <c r="I21" s="42"/>
      <c r="J21" s="42"/>
      <c r="K21" s="42"/>
      <c r="L21" s="42" t="s">
        <v>181</v>
      </c>
      <c r="M21" s="42"/>
      <c r="N21" s="42"/>
      <c r="O21" s="43"/>
    </row>
    <row r="22" spans="5:32" x14ac:dyDescent="0.2">
      <c r="H22" s="44"/>
      <c r="I22" s="45" t="s">
        <v>90</v>
      </c>
      <c r="J22" s="45" t="s">
        <v>91</v>
      </c>
      <c r="K22" s="45" t="s">
        <v>92</v>
      </c>
      <c r="L22" s="45" t="s">
        <v>182</v>
      </c>
      <c r="M22" s="45"/>
      <c r="N22" s="45"/>
      <c r="O22" s="46"/>
    </row>
    <row r="23" spans="5:32" x14ac:dyDescent="0.2">
      <c r="H23" s="44" t="s">
        <v>84</v>
      </c>
      <c r="I23" s="47">
        <f>($Z$17-I$17)/$Z$17</f>
        <v>0.36291124469634622</v>
      </c>
      <c r="J23" s="47">
        <f>($Z$17-K$17)/$Z$17</f>
        <v>0.12338970054170446</v>
      </c>
      <c r="K23" s="47">
        <f>($Z$17-M$17)/$Z$17</f>
        <v>0.17173224980038401</v>
      </c>
      <c r="L23" s="45">
        <f>(Z17-$I$18)/Z17</f>
        <v>0.21934439834614503</v>
      </c>
      <c r="M23" s="45"/>
      <c r="N23" s="45"/>
      <c r="O23" s="46"/>
    </row>
    <row r="24" spans="5:32" x14ac:dyDescent="0.2">
      <c r="H24" s="44" t="s">
        <v>85</v>
      </c>
      <c r="I24" s="47">
        <f>($AC$17-I$17)/$AC$17</f>
        <v>0.33591004720814027</v>
      </c>
      <c r="J24" s="47">
        <f>($AC$17-K$17)/$AC$17</f>
        <v>8.6237062673237816E-2</v>
      </c>
      <c r="K24" s="47">
        <f>($AC$17-M$17)/$AC$17</f>
        <v>0.1366284735838465</v>
      </c>
      <c r="L24" s="45">
        <f>(AC17-$I$18)/AC17</f>
        <v>0.18625852782174165</v>
      </c>
      <c r="M24" s="45"/>
      <c r="N24" s="45"/>
      <c r="O24" s="46"/>
    </row>
    <row r="25" spans="5:32" x14ac:dyDescent="0.2">
      <c r="H25" s="44" t="s">
        <v>86</v>
      </c>
      <c r="I25" s="47">
        <f>($AF$17-I$17)/$AF$17</f>
        <v>0.39859243203421757</v>
      </c>
      <c r="J25" s="47">
        <f>($AF$17-K$17)/$AF$17</f>
        <v>0.17248567980187951</v>
      </c>
      <c r="K25" s="47">
        <f>($AF$17-M$17)/$AF$17</f>
        <v>0.2181207263113274</v>
      </c>
      <c r="L25" s="45">
        <f>(AF17-$I$18)/AF17</f>
        <v>0.26306627938247495</v>
      </c>
      <c r="M25" s="45"/>
      <c r="N25" s="45"/>
      <c r="O25" s="46"/>
    </row>
    <row r="26" spans="5:32" x14ac:dyDescent="0.2">
      <c r="H26" s="44" t="s">
        <v>74</v>
      </c>
      <c r="I26" s="47">
        <f>($W$17-I$17)/$W$17</f>
        <v>0.37872586190470464</v>
      </c>
      <c r="J26" s="47">
        <f>($W$17-K$17)/$W$17</f>
        <v>0.14515002233584717</v>
      </c>
      <c r="K26" s="47">
        <f>($W$17-M$17)/$W$17</f>
        <v>0.19229255212308299</v>
      </c>
      <c r="L26" s="45">
        <f>(W17-$I$18)/W17</f>
        <v>0.23872281212121174</v>
      </c>
      <c r="M26" s="45"/>
      <c r="N26" s="45"/>
      <c r="O26" s="46"/>
    </row>
    <row r="27" spans="5:32" x14ac:dyDescent="0.2">
      <c r="H27" s="44" t="s">
        <v>70</v>
      </c>
      <c r="I27" s="47">
        <f>($Q$17-I$17)/$Q$17</f>
        <v>0.39859243203421779</v>
      </c>
      <c r="J27" s="47">
        <f>($Q$17-K$17)/$Q$17</f>
        <v>0.17248567980187982</v>
      </c>
      <c r="K27" s="47">
        <f>($Q$17-M$17)/$Q$17</f>
        <v>0.21812072631132767</v>
      </c>
      <c r="L27" s="45">
        <f>(Q17-$I$18)/Q17</f>
        <v>0.26306627938247523</v>
      </c>
      <c r="M27" s="45"/>
      <c r="N27" s="45"/>
      <c r="O27" s="46"/>
    </row>
    <row r="28" spans="5:32" ht="13.5" thickBot="1" x14ac:dyDescent="0.25">
      <c r="H28" s="48" t="s">
        <v>87</v>
      </c>
      <c r="I28" s="51">
        <f>($T$17-I$17)/$T$17</f>
        <v>0.43549906925751491</v>
      </c>
      <c r="J28" s="51">
        <f>($T$17-K$17)/$T$17</f>
        <v>0.22326783227118999</v>
      </c>
      <c r="K28" s="51">
        <f>($T$17-M$17)/$T$17</f>
        <v>0.26610238840455347</v>
      </c>
      <c r="L28" s="49">
        <f>(T17-$I$18)/T17</f>
        <v>0.30828976331108626</v>
      </c>
      <c r="M28" s="49"/>
      <c r="N28" s="49"/>
      <c r="O28" s="50"/>
    </row>
    <row r="32" spans="5:32" x14ac:dyDescent="0.2">
      <c r="I32" s="38"/>
      <c r="K32" s="38"/>
      <c r="M32" s="38"/>
    </row>
    <row r="33" spans="8:13" x14ac:dyDescent="0.2">
      <c r="I33" s="38"/>
      <c r="K33" s="38"/>
      <c r="M33" s="38"/>
    </row>
    <row r="34" spans="8:13" x14ac:dyDescent="0.2">
      <c r="I34" s="38"/>
      <c r="K34" s="38"/>
      <c r="M34" s="38"/>
    </row>
    <row r="35" spans="8:13" x14ac:dyDescent="0.2">
      <c r="I35" s="38"/>
      <c r="K35" s="38"/>
      <c r="M35" s="38"/>
    </row>
    <row r="36" spans="8:13" x14ac:dyDescent="0.2">
      <c r="I36" s="38"/>
      <c r="K36" s="38"/>
      <c r="M36" s="38"/>
    </row>
    <row r="37" spans="8:13" x14ac:dyDescent="0.2">
      <c r="H37" s="38"/>
      <c r="I37" s="40"/>
      <c r="J37" s="38"/>
      <c r="K37" s="40"/>
      <c r="L37" s="38"/>
      <c r="M37" s="40"/>
    </row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F09E-6042-4C69-8D5D-A09E80E719B7}">
  <dimension ref="A1:S7"/>
  <sheetViews>
    <sheetView workbookViewId="0">
      <selection activeCell="A7" sqref="A7"/>
    </sheetView>
  </sheetViews>
  <sheetFormatPr defaultRowHeight="12.75" x14ac:dyDescent="0.2"/>
  <sheetData>
    <row r="1" spans="1:19" x14ac:dyDescent="0.2">
      <c r="A1" s="58" t="s">
        <v>25</v>
      </c>
      <c r="B1" s="58" t="s">
        <v>26</v>
      </c>
      <c r="C1" s="58" t="s">
        <v>1</v>
      </c>
      <c r="D1" s="58"/>
      <c r="E1" s="58" t="s">
        <v>27</v>
      </c>
      <c r="F1" s="58"/>
      <c r="G1" s="58"/>
      <c r="H1" s="39"/>
      <c r="I1" s="58" t="s">
        <v>28</v>
      </c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" x14ac:dyDescent="0.2">
      <c r="A2" s="58"/>
      <c r="B2" s="58"/>
      <c r="C2" s="39" t="s">
        <v>32</v>
      </c>
      <c r="D2" s="39" t="s">
        <v>33</v>
      </c>
      <c r="E2" s="39" t="s">
        <v>7</v>
      </c>
      <c r="F2" s="39" t="s">
        <v>8</v>
      </c>
      <c r="G2" s="39" t="s">
        <v>34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x14ac:dyDescent="0.2">
      <c r="A3" s="39">
        <v>1</v>
      </c>
      <c r="B3" s="39" t="s">
        <v>40</v>
      </c>
      <c r="C3" s="39">
        <v>2</v>
      </c>
      <c r="D3" s="39">
        <v>0.33333333300000001</v>
      </c>
      <c r="E3" s="39">
        <v>0.7</v>
      </c>
      <c r="F3" s="39">
        <v>0.9</v>
      </c>
      <c r="G3" s="39">
        <v>0.752</v>
      </c>
      <c r="H3" s="39">
        <v>0.58250000000000002</v>
      </c>
      <c r="I3" s="39" t="s">
        <v>41</v>
      </c>
      <c r="J3" s="39" t="s">
        <v>42</v>
      </c>
      <c r="K3" s="39" t="s">
        <v>43</v>
      </c>
      <c r="L3" s="39" t="s">
        <v>44</v>
      </c>
      <c r="M3" s="39" t="s">
        <v>45</v>
      </c>
      <c r="N3" s="39" t="s">
        <v>46</v>
      </c>
      <c r="O3" s="39"/>
      <c r="P3" s="39"/>
      <c r="Q3" s="39"/>
      <c r="R3" s="39"/>
      <c r="S3" s="39"/>
    </row>
    <row r="4" spans="1:19" x14ac:dyDescent="0.2">
      <c r="A4" s="39">
        <v>2</v>
      </c>
      <c r="B4" s="39" t="s">
        <v>47</v>
      </c>
      <c r="C4" s="39">
        <v>3</v>
      </c>
      <c r="D4" s="39">
        <v>0.5</v>
      </c>
      <c r="E4" s="39">
        <v>0.2</v>
      </c>
      <c r="F4" s="39">
        <v>0.4</v>
      </c>
      <c r="G4" s="39">
        <v>0.30099999999999999</v>
      </c>
      <c r="H4" s="39">
        <v>0.46142857100000001</v>
      </c>
      <c r="I4" s="39" t="s">
        <v>41</v>
      </c>
      <c r="J4" s="39" t="s">
        <v>48</v>
      </c>
      <c r="K4" s="39" t="s">
        <v>49</v>
      </c>
      <c r="L4" s="39" t="s">
        <v>50</v>
      </c>
      <c r="M4" s="39" t="s">
        <v>42</v>
      </c>
      <c r="N4" s="39" t="s">
        <v>43</v>
      </c>
      <c r="O4" s="39" t="s">
        <v>51</v>
      </c>
      <c r="P4" s="39" t="s">
        <v>44</v>
      </c>
      <c r="Q4" s="39" t="s">
        <v>45</v>
      </c>
      <c r="R4" s="39" t="s">
        <v>52</v>
      </c>
      <c r="S4" s="39" t="s">
        <v>46</v>
      </c>
    </row>
    <row r="5" spans="1:19" x14ac:dyDescent="0.2">
      <c r="A5" s="39">
        <v>3</v>
      </c>
      <c r="B5" s="39" t="s">
        <v>53</v>
      </c>
      <c r="C5" s="39">
        <v>1</v>
      </c>
      <c r="D5" s="39">
        <v>0.16666666699999999</v>
      </c>
      <c r="E5" s="39">
        <v>0.1</v>
      </c>
      <c r="F5" s="39">
        <v>0.15</v>
      </c>
      <c r="G5" s="39">
        <v>0.124</v>
      </c>
      <c r="H5" s="39">
        <v>0.56000000000000005</v>
      </c>
      <c r="I5" s="39" t="s">
        <v>41</v>
      </c>
      <c r="J5" s="39" t="s">
        <v>50</v>
      </c>
      <c r="K5" s="39" t="s">
        <v>54</v>
      </c>
      <c r="L5" s="39" t="s">
        <v>55</v>
      </c>
      <c r="M5" s="39" t="s">
        <v>42</v>
      </c>
      <c r="N5" s="39" t="s">
        <v>43</v>
      </c>
      <c r="O5" s="39" t="s">
        <v>56</v>
      </c>
      <c r="P5" s="39" t="s">
        <v>44</v>
      </c>
      <c r="Q5" s="39" t="s">
        <v>45</v>
      </c>
      <c r="R5" s="39"/>
      <c r="S5" s="39"/>
    </row>
    <row r="7" spans="1:19" x14ac:dyDescent="0.2">
      <c r="A7" s="12" t="s">
        <v>186</v>
      </c>
    </row>
  </sheetData>
  <mergeCells count="5">
    <mergeCell ref="A1:A2"/>
    <mergeCell ref="B1:B2"/>
    <mergeCell ref="C1:D1"/>
    <mergeCell ref="E1:G1"/>
    <mergeCell ref="I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File Properties</vt:lpstr>
      <vt:lpstr>Quality Attributes Parameters</vt:lpstr>
      <vt:lpstr>TD-Obstacle Mapping</vt:lpstr>
      <vt:lpstr>TD - DoV Analysis</vt:lpstr>
      <vt:lpstr>TD-Scenario Mapping</vt:lpstr>
      <vt:lpstr>TD - Interest Calculation</vt:lpstr>
      <vt:lpstr>TD - TD score</vt:lpstr>
      <vt:lpstr>TD - Entropy Analysis</vt:lpstr>
      <vt:lpstr>Scenario - Description</vt:lpstr>
      <vt:lpstr>Scenario - Scenario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Suwichak Fungprasertkul</dc:creator>
  <cp:lastModifiedBy>Suwichak Fungprasertkul</cp:lastModifiedBy>
  <dcterms:created xsi:type="dcterms:W3CDTF">2023-04-30T08:00:42Z</dcterms:created>
  <dcterms:modified xsi:type="dcterms:W3CDTF">2023-04-30T09:15:15Z</dcterms:modified>
</cp:coreProperties>
</file>