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bertinA\Documents\DFO Workshops\Small Pelagics - From Monitoring to Stock Assessment\Rmarkdown Acoustic Survey Report - Lite edition\Purse Seine\Data Tables Figures\"/>
    </mc:Choice>
  </mc:AlternateContent>
  <xr:revisionPtr revIDLastSave="0" documentId="8_{94EE1D84-4922-4E36-A319-181D234E8C54}" xr6:coauthVersionLast="47" xr6:coauthVersionMax="47" xr10:uidLastSave="{00000000-0000-0000-0000-000000000000}"/>
  <bookViews>
    <workbookView xWindow="28680" yWindow="-120" windowWidth="29040" windowHeight="15840" tabRatio="572" xr2:uid="{00000000-000D-0000-FFFF-FFFF00000000}"/>
  </bookViews>
  <sheets>
    <sheet name="SI#1-Sep16 (TS)" sheetId="15" r:id="rId1"/>
  </sheets>
  <definedNames>
    <definedName name="_xlnm.Print_Area" localSheetId="0">'SI#1-Sep16 (TS)'!$N$1:$AE$80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5" l="1"/>
  <c r="I120" i="15"/>
  <c r="J120" i="15" s="1"/>
  <c r="K120" i="15"/>
  <c r="I121" i="15"/>
  <c r="J121" i="15" s="1"/>
  <c r="K121" i="15"/>
  <c r="I122" i="15"/>
  <c r="J122" i="15"/>
  <c r="K122" i="15"/>
  <c r="I123" i="15"/>
  <c r="J123" i="15" s="1"/>
  <c r="K123" i="15"/>
  <c r="I124" i="15"/>
  <c r="J124" i="15"/>
  <c r="K124" i="15"/>
  <c r="I125" i="15"/>
  <c r="J125" i="15" s="1"/>
  <c r="K125" i="15"/>
  <c r="I126" i="15"/>
  <c r="J126" i="15"/>
  <c r="K126" i="15"/>
  <c r="I127" i="15"/>
  <c r="J127" i="15"/>
  <c r="K127" i="15"/>
  <c r="I128" i="15"/>
  <c r="J128" i="15"/>
  <c r="K128" i="15"/>
  <c r="I129" i="15"/>
  <c r="J129" i="15" s="1"/>
  <c r="K129" i="15"/>
  <c r="I130" i="15"/>
  <c r="J130" i="15"/>
  <c r="K130" i="15"/>
  <c r="I131" i="15"/>
  <c r="J131" i="15"/>
  <c r="K131" i="15"/>
  <c r="I132" i="15"/>
  <c r="J132" i="15" s="1"/>
  <c r="K132" i="15"/>
  <c r="I133" i="15"/>
  <c r="J133" i="15" s="1"/>
  <c r="K133" i="15"/>
  <c r="I134" i="15"/>
  <c r="J134" i="15"/>
  <c r="K134" i="15"/>
  <c r="I135" i="15"/>
  <c r="J135" i="15"/>
  <c r="K135" i="15"/>
  <c r="I136" i="15"/>
  <c r="J136" i="15"/>
  <c r="K136" i="15"/>
  <c r="I137" i="15"/>
  <c r="J137" i="15" s="1"/>
  <c r="K137" i="15"/>
  <c r="I138" i="15"/>
  <c r="J138" i="15"/>
  <c r="K138" i="15"/>
  <c r="I139" i="15"/>
  <c r="J139" i="15"/>
  <c r="K139" i="15"/>
  <c r="I140" i="15"/>
  <c r="J140" i="15"/>
  <c r="K140" i="15"/>
  <c r="I141" i="15"/>
  <c r="J141" i="15" s="1"/>
  <c r="K141" i="15"/>
  <c r="I142" i="15"/>
  <c r="J142" i="15"/>
  <c r="K142" i="15"/>
  <c r="I68" i="15"/>
  <c r="J68" i="15"/>
  <c r="K68" i="15"/>
  <c r="I69" i="15"/>
  <c r="J69" i="15"/>
  <c r="K69" i="15"/>
  <c r="I70" i="15"/>
  <c r="J70" i="15" s="1"/>
  <c r="K70" i="15"/>
  <c r="I71" i="15"/>
  <c r="J71" i="15"/>
  <c r="K71" i="15"/>
  <c r="O88" i="15" l="1"/>
  <c r="P191" i="15" l="1"/>
  <c r="O191" i="15"/>
  <c r="N191" i="15"/>
  <c r="T73" i="15" l="1"/>
  <c r="P73" i="15"/>
  <c r="U73" i="15" l="1"/>
  <c r="O73" i="15"/>
  <c r="AB144" i="15"/>
  <c r="AB143" i="15"/>
  <c r="AE92" i="15" s="1"/>
  <c r="AA144" i="15"/>
  <c r="AA143" i="15"/>
  <c r="I88" i="15"/>
  <c r="J88" i="15" s="1"/>
  <c r="K88" i="15"/>
  <c r="I89" i="15"/>
  <c r="J89" i="15" s="1"/>
  <c r="K89" i="15"/>
  <c r="I90" i="15"/>
  <c r="J90" i="15" s="1"/>
  <c r="K90" i="15"/>
  <c r="I91" i="15"/>
  <c r="J91" i="15" s="1"/>
  <c r="K91" i="15"/>
  <c r="I92" i="15"/>
  <c r="J92" i="15" s="1"/>
  <c r="K92" i="15"/>
  <c r="I93" i="15"/>
  <c r="J93" i="15" s="1"/>
  <c r="K93" i="15"/>
  <c r="I94" i="15"/>
  <c r="J94" i="15" s="1"/>
  <c r="K94" i="15"/>
  <c r="I95" i="15"/>
  <c r="J95" i="15" s="1"/>
  <c r="K95" i="15"/>
  <c r="I96" i="15"/>
  <c r="J96" i="15" s="1"/>
  <c r="K96" i="15"/>
  <c r="I97" i="15"/>
  <c r="J97" i="15" s="1"/>
  <c r="K97" i="15"/>
  <c r="I98" i="15"/>
  <c r="J98" i="15" s="1"/>
  <c r="K98" i="15"/>
  <c r="I99" i="15"/>
  <c r="J99" i="15" s="1"/>
  <c r="K99" i="15"/>
  <c r="I100" i="15"/>
  <c r="J100" i="15" s="1"/>
  <c r="K100" i="15"/>
  <c r="I101" i="15"/>
  <c r="J101" i="15" s="1"/>
  <c r="K101" i="15"/>
  <c r="I102" i="15"/>
  <c r="J102" i="15" s="1"/>
  <c r="K102" i="15"/>
  <c r="I103" i="15"/>
  <c r="J103" i="15" s="1"/>
  <c r="K103" i="15"/>
  <c r="I104" i="15"/>
  <c r="J104" i="15" s="1"/>
  <c r="K104" i="15"/>
  <c r="I105" i="15"/>
  <c r="J105" i="15" s="1"/>
  <c r="K105" i="15"/>
  <c r="I106" i="15"/>
  <c r="J106" i="15" s="1"/>
  <c r="K106" i="15"/>
  <c r="I107" i="15"/>
  <c r="J107" i="15" s="1"/>
  <c r="K107" i="15"/>
  <c r="I108" i="15"/>
  <c r="J108" i="15" s="1"/>
  <c r="K108" i="15"/>
  <c r="I109" i="15"/>
  <c r="J109" i="15" s="1"/>
  <c r="K109" i="15"/>
  <c r="I110" i="15"/>
  <c r="J110" i="15" s="1"/>
  <c r="K110" i="15"/>
  <c r="I111" i="15"/>
  <c r="J111" i="15" s="1"/>
  <c r="K111" i="15"/>
  <c r="I112" i="15"/>
  <c r="J112" i="15" s="1"/>
  <c r="K112" i="15"/>
  <c r="I113" i="15"/>
  <c r="J113" i="15" s="1"/>
  <c r="K113" i="15"/>
  <c r="I114" i="15"/>
  <c r="J114" i="15" s="1"/>
  <c r="K114" i="15"/>
  <c r="I115" i="15"/>
  <c r="J115" i="15" s="1"/>
  <c r="K115" i="15"/>
  <c r="I116" i="15"/>
  <c r="J116" i="15" s="1"/>
  <c r="K116" i="15"/>
  <c r="I117" i="15"/>
  <c r="J117" i="15" s="1"/>
  <c r="K117" i="15"/>
  <c r="I118" i="15"/>
  <c r="J118" i="15" s="1"/>
  <c r="K118" i="15"/>
  <c r="I119" i="15"/>
  <c r="J119" i="15" s="1"/>
  <c r="K119" i="15"/>
  <c r="T88" i="15"/>
  <c r="I32" i="15"/>
  <c r="J32" i="15" s="1"/>
  <c r="K32" i="15"/>
  <c r="I33" i="15"/>
  <c r="J33" i="15" s="1"/>
  <c r="K33" i="15"/>
  <c r="I34" i="15"/>
  <c r="J34" i="15" s="1"/>
  <c r="K34" i="15"/>
  <c r="I35" i="15"/>
  <c r="J35" i="15" s="1"/>
  <c r="K35" i="15"/>
  <c r="I36" i="15"/>
  <c r="J36" i="15" s="1"/>
  <c r="K36" i="15"/>
  <c r="I37" i="15"/>
  <c r="J37" i="15" s="1"/>
  <c r="K37" i="15"/>
  <c r="I38" i="15"/>
  <c r="J38" i="15" s="1"/>
  <c r="K38" i="15"/>
  <c r="I39" i="15"/>
  <c r="J39" i="15" s="1"/>
  <c r="K39" i="15"/>
  <c r="I40" i="15"/>
  <c r="J40" i="15" s="1"/>
  <c r="K40" i="15"/>
  <c r="I41" i="15"/>
  <c r="J41" i="15" s="1"/>
  <c r="K41" i="15"/>
  <c r="I42" i="15"/>
  <c r="J42" i="15" s="1"/>
  <c r="K42" i="15"/>
  <c r="I43" i="15"/>
  <c r="J43" i="15" s="1"/>
  <c r="K43" i="15"/>
  <c r="I44" i="15"/>
  <c r="J44" i="15" s="1"/>
  <c r="K44" i="15"/>
  <c r="I45" i="15"/>
  <c r="J45" i="15" s="1"/>
  <c r="K45" i="15"/>
  <c r="I46" i="15"/>
  <c r="J46" i="15" s="1"/>
  <c r="K46" i="15"/>
  <c r="I47" i="15"/>
  <c r="J47" i="15" s="1"/>
  <c r="K47" i="15"/>
  <c r="I48" i="15"/>
  <c r="J48" i="15" s="1"/>
  <c r="K48" i="15"/>
  <c r="I49" i="15"/>
  <c r="J49" i="15" s="1"/>
  <c r="K49" i="15"/>
  <c r="I50" i="15"/>
  <c r="J50" i="15" s="1"/>
  <c r="K50" i="15"/>
  <c r="I51" i="15"/>
  <c r="J51" i="15" s="1"/>
  <c r="K51" i="15"/>
  <c r="I52" i="15"/>
  <c r="J52" i="15" s="1"/>
  <c r="K52" i="15"/>
  <c r="I53" i="15"/>
  <c r="J53" i="15" s="1"/>
  <c r="K53" i="15"/>
  <c r="I54" i="15"/>
  <c r="J54" i="15" s="1"/>
  <c r="K54" i="15"/>
  <c r="I55" i="15"/>
  <c r="J55" i="15" s="1"/>
  <c r="K55" i="15"/>
  <c r="I56" i="15"/>
  <c r="J56" i="15" s="1"/>
  <c r="K56" i="15"/>
  <c r="I57" i="15"/>
  <c r="J57" i="15" s="1"/>
  <c r="K57" i="15"/>
  <c r="I58" i="15"/>
  <c r="J58" i="15" s="1"/>
  <c r="K58" i="15"/>
  <c r="I59" i="15"/>
  <c r="J59" i="15" s="1"/>
  <c r="K59" i="15"/>
  <c r="I60" i="15"/>
  <c r="J60" i="15" s="1"/>
  <c r="K60" i="15"/>
  <c r="I61" i="15"/>
  <c r="J61" i="15" s="1"/>
  <c r="K61" i="15"/>
  <c r="I62" i="15"/>
  <c r="J62" i="15" s="1"/>
  <c r="K62" i="15"/>
  <c r="I63" i="15"/>
  <c r="J63" i="15" s="1"/>
  <c r="K63" i="15"/>
  <c r="I64" i="15"/>
  <c r="J64" i="15" s="1"/>
  <c r="K64" i="15"/>
  <c r="I65" i="15"/>
  <c r="J65" i="15" s="1"/>
  <c r="K65" i="15"/>
  <c r="I66" i="15"/>
  <c r="J66" i="15" s="1"/>
  <c r="K66" i="15"/>
  <c r="I67" i="15"/>
  <c r="J67" i="15" s="1"/>
  <c r="K67" i="15"/>
  <c r="I72" i="15"/>
  <c r="J72" i="15" s="1"/>
  <c r="K72" i="15"/>
  <c r="I73" i="15"/>
  <c r="J73" i="15" s="1"/>
  <c r="K73" i="15"/>
  <c r="I74" i="15"/>
  <c r="J74" i="15" s="1"/>
  <c r="K74" i="15"/>
  <c r="I75" i="15"/>
  <c r="J75" i="15" s="1"/>
  <c r="K75" i="15"/>
  <c r="I76" i="15"/>
  <c r="J76" i="15" s="1"/>
  <c r="K76" i="15"/>
  <c r="I77" i="15"/>
  <c r="J77" i="15" s="1"/>
  <c r="K77" i="15"/>
  <c r="I78" i="15"/>
  <c r="J78" i="15" s="1"/>
  <c r="K78" i="15"/>
  <c r="I79" i="15"/>
  <c r="J79" i="15" s="1"/>
  <c r="K79" i="15"/>
  <c r="I80" i="15"/>
  <c r="J80" i="15" s="1"/>
  <c r="K80" i="15"/>
  <c r="I81" i="15"/>
  <c r="J81" i="15" s="1"/>
  <c r="K81" i="15"/>
  <c r="I82" i="15"/>
  <c r="J82" i="15" s="1"/>
  <c r="K82" i="15"/>
  <c r="I83" i="15"/>
  <c r="J83" i="15" s="1"/>
  <c r="K83" i="15"/>
  <c r="I84" i="15"/>
  <c r="J84" i="15" s="1"/>
  <c r="K84" i="15"/>
  <c r="I85" i="15"/>
  <c r="J85" i="15" s="1"/>
  <c r="K85" i="15"/>
  <c r="I86" i="15"/>
  <c r="J86" i="15" s="1"/>
  <c r="K86" i="15"/>
  <c r="I87" i="15"/>
  <c r="J87" i="15" s="1"/>
  <c r="K87" i="15"/>
  <c r="I7" i="15"/>
  <c r="J7" i="15" s="1"/>
  <c r="K7" i="15"/>
  <c r="I8" i="15"/>
  <c r="J8" i="15" s="1"/>
  <c r="K8" i="15"/>
  <c r="I9" i="15"/>
  <c r="J9" i="15" s="1"/>
  <c r="K9" i="15"/>
  <c r="I10" i="15"/>
  <c r="J10" i="15" s="1"/>
  <c r="K10" i="15"/>
  <c r="I11" i="15"/>
  <c r="J11" i="15" s="1"/>
  <c r="K11" i="15"/>
  <c r="I12" i="15"/>
  <c r="J12" i="15" s="1"/>
  <c r="K12" i="15"/>
  <c r="I13" i="15"/>
  <c r="J13" i="15" s="1"/>
  <c r="K13" i="15"/>
  <c r="I14" i="15"/>
  <c r="J14" i="15" s="1"/>
  <c r="K14" i="15"/>
  <c r="I15" i="15"/>
  <c r="J15" i="15" s="1"/>
  <c r="K15" i="15"/>
  <c r="I16" i="15"/>
  <c r="J16" i="15" s="1"/>
  <c r="K16" i="15"/>
  <c r="I17" i="15"/>
  <c r="J17" i="15" s="1"/>
  <c r="K17" i="15"/>
  <c r="I18" i="15"/>
  <c r="J18" i="15" s="1"/>
  <c r="K18" i="15"/>
  <c r="I19" i="15"/>
  <c r="J19" i="15" s="1"/>
  <c r="K19" i="15"/>
  <c r="I20" i="15"/>
  <c r="J20" i="15" s="1"/>
  <c r="K20" i="15"/>
  <c r="I21" i="15"/>
  <c r="J21" i="15" s="1"/>
  <c r="K21" i="15"/>
  <c r="I22" i="15"/>
  <c r="J22" i="15" s="1"/>
  <c r="K22" i="15"/>
  <c r="I23" i="15"/>
  <c r="J23" i="15" s="1"/>
  <c r="K23" i="15"/>
  <c r="I24" i="15"/>
  <c r="J24" i="15" s="1"/>
  <c r="K24" i="15"/>
  <c r="I25" i="15"/>
  <c r="J25" i="15" s="1"/>
  <c r="K25" i="15"/>
  <c r="I26" i="15"/>
  <c r="J26" i="15" s="1"/>
  <c r="K26" i="15"/>
  <c r="I27" i="15"/>
  <c r="J27" i="15" s="1"/>
  <c r="K27" i="15"/>
  <c r="I28" i="15"/>
  <c r="J28" i="15" s="1"/>
  <c r="K28" i="15"/>
  <c r="I29" i="15"/>
  <c r="J29" i="15" s="1"/>
  <c r="K29" i="15"/>
  <c r="I30" i="15"/>
  <c r="J30" i="15" s="1"/>
  <c r="K30" i="15"/>
  <c r="I31" i="15"/>
  <c r="J31" i="15" s="1"/>
  <c r="K31" i="15"/>
  <c r="Q4" i="15"/>
  <c r="Q5" i="15"/>
  <c r="P135" i="15"/>
  <c r="P98" i="15"/>
  <c r="P99" i="15"/>
  <c r="P100" i="15"/>
  <c r="AA100" i="15" s="1"/>
  <c r="P101" i="15"/>
  <c r="AA101" i="15" s="1"/>
  <c r="P102" i="15"/>
  <c r="S102" i="15" s="1"/>
  <c r="P103" i="15"/>
  <c r="AA103" i="15" s="1"/>
  <c r="P104" i="15"/>
  <c r="P105" i="15"/>
  <c r="S105" i="15" s="1"/>
  <c r="P106" i="15"/>
  <c r="P107" i="15"/>
  <c r="S107" i="15" s="1"/>
  <c r="P108" i="15"/>
  <c r="AA108" i="15" s="1"/>
  <c r="P109" i="15"/>
  <c r="AA109" i="15" s="1"/>
  <c r="P110" i="15"/>
  <c r="S110" i="15" s="1"/>
  <c r="P111" i="15"/>
  <c r="AA111" i="15" s="1"/>
  <c r="P112" i="15"/>
  <c r="AA112" i="15" s="1"/>
  <c r="P113" i="15"/>
  <c r="S113" i="15" s="1"/>
  <c r="P114" i="15"/>
  <c r="S114" i="15" s="1"/>
  <c r="P115" i="15"/>
  <c r="AA115" i="15" s="1"/>
  <c r="P116" i="15"/>
  <c r="P117" i="15"/>
  <c r="AA117" i="15" s="1"/>
  <c r="P118" i="15"/>
  <c r="P119" i="15"/>
  <c r="AA119" i="15" s="1"/>
  <c r="P120" i="15"/>
  <c r="AA120" i="15" s="1"/>
  <c r="P121" i="15"/>
  <c r="AA121" i="15" s="1"/>
  <c r="P122" i="15"/>
  <c r="P123" i="15"/>
  <c r="S123" i="15" s="1"/>
  <c r="P124" i="15"/>
  <c r="AA124" i="15" s="1"/>
  <c r="P125" i="15"/>
  <c r="S125" i="15" s="1"/>
  <c r="P126" i="15"/>
  <c r="P127" i="15"/>
  <c r="AA127" i="15" s="1"/>
  <c r="P128" i="15"/>
  <c r="P129" i="15"/>
  <c r="S129" i="15" s="1"/>
  <c r="P130" i="15"/>
  <c r="S130" i="15" s="1"/>
  <c r="P131" i="15"/>
  <c r="P132" i="15"/>
  <c r="P133" i="15"/>
  <c r="P134" i="15"/>
  <c r="AA134" i="15" s="1"/>
  <c r="M137" i="15"/>
  <c r="N137" i="15"/>
  <c r="P97" i="15"/>
  <c r="I4" i="15"/>
  <c r="J4" i="15" s="1"/>
  <c r="I5" i="15"/>
  <c r="J5" i="15" s="1"/>
  <c r="I6" i="15"/>
  <c r="J6" i="15" s="1"/>
  <c r="V100" i="15"/>
  <c r="V101" i="15"/>
  <c r="X101" i="15" s="1"/>
  <c r="Z101" i="15" s="1"/>
  <c r="V102" i="15"/>
  <c r="X102" i="15" s="1"/>
  <c r="Z102" i="15" s="1"/>
  <c r="V103" i="15"/>
  <c r="X103" i="15" s="1"/>
  <c r="Z103" i="15" s="1"/>
  <c r="V104" i="15"/>
  <c r="X104" i="15" s="1"/>
  <c r="Z104" i="15" s="1"/>
  <c r="V105" i="15"/>
  <c r="X105" i="15" s="1"/>
  <c r="Z105" i="15" s="1"/>
  <c r="V106" i="15"/>
  <c r="X106" i="15" s="1"/>
  <c r="Z106" i="15" s="1"/>
  <c r="V107" i="15"/>
  <c r="V108" i="15"/>
  <c r="X108" i="15" s="1"/>
  <c r="Z108" i="15" s="1"/>
  <c r="V109" i="15"/>
  <c r="X109" i="15" s="1"/>
  <c r="Z109" i="15" s="1"/>
  <c r="V110" i="15"/>
  <c r="X110" i="15" s="1"/>
  <c r="Z110" i="15" s="1"/>
  <c r="V111" i="15"/>
  <c r="X111" i="15" s="1"/>
  <c r="Z111" i="15" s="1"/>
  <c r="V112" i="15"/>
  <c r="X112" i="15" s="1"/>
  <c r="Z112" i="15" s="1"/>
  <c r="V113" i="15"/>
  <c r="X113" i="15" s="1"/>
  <c r="Z113" i="15" s="1"/>
  <c r="V114" i="15"/>
  <c r="X114" i="15" s="1"/>
  <c r="Z114" i="15" s="1"/>
  <c r="V115" i="15"/>
  <c r="X115" i="15" s="1"/>
  <c r="Z115" i="15" s="1"/>
  <c r="V116" i="15"/>
  <c r="X116" i="15" s="1"/>
  <c r="Z116" i="15" s="1"/>
  <c r="V117" i="15"/>
  <c r="X117" i="15" s="1"/>
  <c r="Z117" i="15" s="1"/>
  <c r="V118" i="15"/>
  <c r="V119" i="15"/>
  <c r="X119" i="15" s="1"/>
  <c r="Z119" i="15" s="1"/>
  <c r="V120" i="15"/>
  <c r="X120" i="15" s="1"/>
  <c r="Z120" i="15" s="1"/>
  <c r="V121" i="15"/>
  <c r="V122" i="15"/>
  <c r="X122" i="15" s="1"/>
  <c r="Z122" i="15" s="1"/>
  <c r="V123" i="15"/>
  <c r="X123" i="15" s="1"/>
  <c r="Z123" i="15" s="1"/>
  <c r="V124" i="15"/>
  <c r="X124" i="15" s="1"/>
  <c r="Z124" i="15" s="1"/>
  <c r="V125" i="15"/>
  <c r="X125" i="15" s="1"/>
  <c r="Z125" i="15" s="1"/>
  <c r="V126" i="15"/>
  <c r="X126" i="15" s="1"/>
  <c r="Z126" i="15" s="1"/>
  <c r="V127" i="15"/>
  <c r="V128" i="15"/>
  <c r="X128" i="15" s="1"/>
  <c r="Z128" i="15" s="1"/>
  <c r="V129" i="15"/>
  <c r="X129" i="15" s="1"/>
  <c r="Z129" i="15" s="1"/>
  <c r="V130" i="15"/>
  <c r="V131" i="15"/>
  <c r="X131" i="15" s="1"/>
  <c r="Z131" i="15" s="1"/>
  <c r="V132" i="15"/>
  <c r="X132" i="15" s="1"/>
  <c r="Z132" i="15" s="1"/>
  <c r="V133" i="15"/>
  <c r="X133" i="15" s="1"/>
  <c r="Z133" i="15" s="1"/>
  <c r="V134" i="15"/>
  <c r="X134" i="15" s="1"/>
  <c r="Z134" i="15" s="1"/>
  <c r="V135" i="15"/>
  <c r="X135" i="15" s="1"/>
  <c r="Z135" i="15" s="1"/>
  <c r="V93" i="15"/>
  <c r="X93" i="15" s="1"/>
  <c r="Z93" i="15" s="1"/>
  <c r="V94" i="15"/>
  <c r="X94" i="15" s="1"/>
  <c r="Z94" i="15" s="1"/>
  <c r="V95" i="15"/>
  <c r="X95" i="15" s="1"/>
  <c r="Z95" i="15" s="1"/>
  <c r="V96" i="15"/>
  <c r="X96" i="15" s="1"/>
  <c r="Z96" i="15" s="1"/>
  <c r="V97" i="15"/>
  <c r="X97" i="15" s="1"/>
  <c r="Z97" i="15" s="1"/>
  <c r="V98" i="15"/>
  <c r="V99" i="15"/>
  <c r="X99" i="15" s="1"/>
  <c r="Z99" i="15" s="1"/>
  <c r="AA93" i="15"/>
  <c r="P94" i="15"/>
  <c r="S94" i="15" s="1"/>
  <c r="P95" i="15"/>
  <c r="S95" i="15" s="1"/>
  <c r="P96" i="15"/>
  <c r="AA96" i="15" s="1"/>
  <c r="Q3" i="15"/>
  <c r="R147" i="15" s="1"/>
  <c r="K4" i="15"/>
  <c r="S93" i="15"/>
  <c r="K5" i="15"/>
  <c r="K6" i="15"/>
  <c r="W7" i="15"/>
  <c r="W8" i="15"/>
  <c r="W9" i="15"/>
  <c r="Q93" i="15"/>
  <c r="R93" i="15"/>
  <c r="T93" i="15" s="1"/>
  <c r="Q94" i="15"/>
  <c r="R94" i="15"/>
  <c r="Q95" i="15"/>
  <c r="R95" i="15"/>
  <c r="Q96" i="15"/>
  <c r="R96" i="15"/>
  <c r="T96" i="15" s="1"/>
  <c r="Q97" i="15"/>
  <c r="R97" i="15"/>
  <c r="Q98" i="15"/>
  <c r="R98" i="15"/>
  <c r="Q99" i="15"/>
  <c r="R99" i="15"/>
  <c r="Q100" i="15"/>
  <c r="R100" i="15"/>
  <c r="Q101" i="15"/>
  <c r="R101" i="15"/>
  <c r="Q102" i="15"/>
  <c r="R102" i="15"/>
  <c r="Q103" i="15"/>
  <c r="R103" i="15"/>
  <c r="Q104" i="15"/>
  <c r="R104" i="15"/>
  <c r="Q105" i="15"/>
  <c r="R105" i="15"/>
  <c r="Q106" i="15"/>
  <c r="R106" i="15"/>
  <c r="Q107" i="15"/>
  <c r="R107" i="15"/>
  <c r="Q108" i="15"/>
  <c r="R108" i="15"/>
  <c r="Q109" i="15"/>
  <c r="R109" i="15"/>
  <c r="Q110" i="15"/>
  <c r="R110" i="15"/>
  <c r="Q111" i="15"/>
  <c r="R111" i="15"/>
  <c r="Q112" i="15"/>
  <c r="R112" i="15"/>
  <c r="Q113" i="15"/>
  <c r="R113" i="15"/>
  <c r="Q114" i="15"/>
  <c r="R114" i="15"/>
  <c r="Q115" i="15"/>
  <c r="R115" i="15"/>
  <c r="Q116" i="15"/>
  <c r="R116" i="15"/>
  <c r="Q117" i="15"/>
  <c r="R117" i="15"/>
  <c r="Q118" i="15"/>
  <c r="R118" i="15"/>
  <c r="Q119" i="15"/>
  <c r="R119" i="15"/>
  <c r="Q120" i="15"/>
  <c r="R120" i="15"/>
  <c r="Q121" i="15"/>
  <c r="R121" i="15"/>
  <c r="Q122" i="15"/>
  <c r="R122" i="15"/>
  <c r="Q123" i="15"/>
  <c r="R123" i="15"/>
  <c r="Q124" i="15"/>
  <c r="R124" i="15"/>
  <c r="Q125" i="15"/>
  <c r="R125" i="15"/>
  <c r="Q126" i="15"/>
  <c r="R126" i="15"/>
  <c r="Q127" i="15"/>
  <c r="R127" i="15"/>
  <c r="Q128" i="15"/>
  <c r="R128" i="15"/>
  <c r="Q129" i="15"/>
  <c r="R129" i="15"/>
  <c r="Q130" i="15"/>
  <c r="R130" i="15"/>
  <c r="Q131" i="15"/>
  <c r="R131" i="15"/>
  <c r="Q132" i="15"/>
  <c r="R132" i="15"/>
  <c r="Q133" i="15"/>
  <c r="R133" i="15"/>
  <c r="Q134" i="15"/>
  <c r="R134" i="15"/>
  <c r="Q135" i="15"/>
  <c r="R135" i="15"/>
  <c r="S100" i="15"/>
  <c r="AA95" i="15"/>
  <c r="S101" i="15"/>
  <c r="X100" i="15"/>
  <c r="Z100" i="15" s="1"/>
  <c r="AC100" i="15" s="1"/>
  <c r="T95" i="15" l="1"/>
  <c r="AL106" i="15"/>
  <c r="AL107" i="15"/>
  <c r="AC120" i="15"/>
  <c r="S109" i="15"/>
  <c r="T123" i="15"/>
  <c r="T128" i="15"/>
  <c r="AC112" i="15"/>
  <c r="AA94" i="15"/>
  <c r="S103" i="15"/>
  <c r="S111" i="15"/>
  <c r="T131" i="15"/>
  <c r="W101" i="15"/>
  <c r="S117" i="15"/>
  <c r="S115" i="15"/>
  <c r="T125" i="15"/>
  <c r="T121" i="15"/>
  <c r="T119" i="15"/>
  <c r="T117" i="15"/>
  <c r="T115" i="15"/>
  <c r="T113" i="15"/>
  <c r="T111" i="15"/>
  <c r="T109" i="15"/>
  <c r="T107" i="15"/>
  <c r="T99" i="15"/>
  <c r="S119" i="15"/>
  <c r="AA107" i="15"/>
  <c r="AA123" i="15"/>
  <c r="AA113" i="15"/>
  <c r="AC113" i="15" s="1"/>
  <c r="T106" i="15"/>
  <c r="W132" i="15"/>
  <c r="Y132" i="15" s="1"/>
  <c r="AA114" i="15"/>
  <c r="AC114" i="15" s="1"/>
  <c r="AA130" i="15"/>
  <c r="W116" i="15"/>
  <c r="Y116" i="15" s="1"/>
  <c r="W105" i="15"/>
  <c r="W106" i="15"/>
  <c r="W120" i="15"/>
  <c r="Y120" i="15" s="1"/>
  <c r="W97" i="15"/>
  <c r="W119" i="15"/>
  <c r="Y119" i="15" s="1"/>
  <c r="AC95" i="15"/>
  <c r="AA102" i="15"/>
  <c r="AC102" i="15" s="1"/>
  <c r="T126" i="15"/>
  <c r="T124" i="15"/>
  <c r="T122" i="15"/>
  <c r="T112" i="15"/>
  <c r="T108" i="15"/>
  <c r="AC134" i="15"/>
  <c r="Q137" i="15"/>
  <c r="W134" i="15"/>
  <c r="Y134" i="15" s="1"/>
  <c r="W100" i="15"/>
  <c r="W109" i="15"/>
  <c r="Y109" i="15" s="1"/>
  <c r="W115" i="15"/>
  <c r="Y115" i="15" s="1"/>
  <c r="W94" i="15"/>
  <c r="Y94" i="15" s="1"/>
  <c r="U4" i="15"/>
  <c r="W147" i="15" s="1"/>
  <c r="W117" i="15"/>
  <c r="Y117" i="15" s="1"/>
  <c r="T105" i="15"/>
  <c r="S134" i="15"/>
  <c r="AC119" i="15"/>
  <c r="AA105" i="15"/>
  <c r="AC105" i="15" s="1"/>
  <c r="S121" i="15"/>
  <c r="T103" i="15"/>
  <c r="S127" i="15"/>
  <c r="AA129" i="15"/>
  <c r="AA125" i="15"/>
  <c r="AC125" i="15" s="1"/>
  <c r="T134" i="15"/>
  <c r="T132" i="15"/>
  <c r="T130" i="15"/>
  <c r="T129" i="15"/>
  <c r="T127" i="15"/>
  <c r="T102" i="15"/>
  <c r="T100" i="15"/>
  <c r="T98" i="15"/>
  <c r="T94" i="15"/>
  <c r="AC96" i="15"/>
  <c r="W95" i="15"/>
  <c r="Y95" i="15" s="1"/>
  <c r="AC124" i="15"/>
  <c r="T120" i="15"/>
  <c r="T116" i="15"/>
  <c r="AC108" i="15"/>
  <c r="W111" i="15"/>
  <c r="Y111" i="15" s="1"/>
  <c r="AC117" i="15"/>
  <c r="W122" i="15"/>
  <c r="Y122" i="15" s="1"/>
  <c r="W93" i="15"/>
  <c r="Y93" i="15" s="1"/>
  <c r="W112" i="15"/>
  <c r="Y112" i="15" s="1"/>
  <c r="W113" i="15"/>
  <c r="Y113" i="15" s="1"/>
  <c r="W126" i="15"/>
  <c r="Y126" i="15" s="1"/>
  <c r="W104" i="15"/>
  <c r="W133" i="15"/>
  <c r="Y133" i="15" s="1"/>
  <c r="W110" i="15"/>
  <c r="Y110" i="15" s="1"/>
  <c r="W108" i="15"/>
  <c r="Y108" i="15" s="1"/>
  <c r="W129" i="15"/>
  <c r="Y129" i="15" s="1"/>
  <c r="W123" i="15"/>
  <c r="Y123" i="15" s="1"/>
  <c r="W135" i="15"/>
  <c r="Y135" i="15" s="1"/>
  <c r="W128" i="15"/>
  <c r="Y128" i="15" s="1"/>
  <c r="T114" i="15"/>
  <c r="P137" i="15"/>
  <c r="U93" i="15" s="1"/>
  <c r="S120" i="15"/>
  <c r="T135" i="15"/>
  <c r="T118" i="15"/>
  <c r="T101" i="15"/>
  <c r="AC111" i="15"/>
  <c r="AC101" i="15"/>
  <c r="X130" i="15"/>
  <c r="Z130" i="15" s="1"/>
  <c r="AC130" i="15" s="1"/>
  <c r="W130" i="15"/>
  <c r="Y130" i="15" s="1"/>
  <c r="X121" i="15"/>
  <c r="Z121" i="15" s="1"/>
  <c r="AC121" i="15" s="1"/>
  <c r="W121" i="15"/>
  <c r="Y121" i="15" s="1"/>
  <c r="X107" i="15"/>
  <c r="Z107" i="15" s="1"/>
  <c r="W107" i="15"/>
  <c r="AA97" i="15"/>
  <c r="AC97" i="15" s="1"/>
  <c r="S97" i="15"/>
  <c r="AA133" i="15"/>
  <c r="AC133" i="15" s="1"/>
  <c r="S133" i="15"/>
  <c r="AA131" i="15"/>
  <c r="AC131" i="15" s="1"/>
  <c r="S131" i="15"/>
  <c r="AA128" i="15"/>
  <c r="AC128" i="15" s="1"/>
  <c r="S128" i="15"/>
  <c r="S124" i="15"/>
  <c r="AA118" i="15"/>
  <c r="S118" i="15"/>
  <c r="S116" i="15"/>
  <c r="AA116" i="15"/>
  <c r="S112" i="15"/>
  <c r="AA110" i="15"/>
  <c r="AC110" i="15" s="1"/>
  <c r="T110" i="15"/>
  <c r="S108" i="15"/>
  <c r="AA104" i="15"/>
  <c r="AC104" i="15" s="1"/>
  <c r="S104" i="15"/>
  <c r="T104" i="15"/>
  <c r="AA99" i="15"/>
  <c r="AC99" i="15" s="1"/>
  <c r="S99" i="15"/>
  <c r="AA135" i="15"/>
  <c r="AC135" i="15" s="1"/>
  <c r="S135" i="15"/>
  <c r="W114" i="15"/>
  <c r="Y114" i="15" s="1"/>
  <c r="W102" i="15"/>
  <c r="W96" i="15"/>
  <c r="Y96" i="15" s="1"/>
  <c r="W103" i="15"/>
  <c r="W125" i="15"/>
  <c r="Y125" i="15" s="1"/>
  <c r="W99" i="15"/>
  <c r="W124" i="15"/>
  <c r="Y124" i="15" s="1"/>
  <c r="S96" i="15"/>
  <c r="X98" i="15"/>
  <c r="Z98" i="15" s="1"/>
  <c r="W98" i="15"/>
  <c r="AC93" i="15"/>
  <c r="AC129" i="15"/>
  <c r="X127" i="15"/>
  <c r="Z127" i="15" s="1"/>
  <c r="W127" i="15"/>
  <c r="Y127" i="15" s="1"/>
  <c r="X118" i="15"/>
  <c r="Z118" i="15" s="1"/>
  <c r="W118" i="15"/>
  <c r="Y118" i="15" s="1"/>
  <c r="AC116" i="15"/>
  <c r="AA98" i="15"/>
  <c r="S98" i="15"/>
  <c r="T133" i="15"/>
  <c r="T97" i="15"/>
  <c r="AC94" i="15"/>
  <c r="AC123" i="15"/>
  <c r="AA132" i="15"/>
  <c r="AC132" i="15" s="1"/>
  <c r="S132" i="15"/>
  <c r="AA126" i="15"/>
  <c r="AC126" i="15" s="1"/>
  <c r="S126" i="15"/>
  <c r="AA122" i="15"/>
  <c r="AC122" i="15" s="1"/>
  <c r="S122" i="15"/>
  <c r="AA106" i="15"/>
  <c r="AC106" i="15" s="1"/>
  <c r="S106" i="15"/>
  <c r="W131" i="15"/>
  <c r="Y131" i="15" s="1"/>
  <c r="AC127" i="15"/>
  <c r="AC115" i="15"/>
  <c r="AC103" i="15"/>
  <c r="AC109" i="15"/>
  <c r="U95" i="15" l="1"/>
  <c r="Z137" i="15"/>
  <c r="AC107" i="15"/>
  <c r="Y98" i="15"/>
  <c r="Y102" i="15"/>
  <c r="Y100" i="15"/>
  <c r="Y97" i="15"/>
  <c r="Y103" i="15"/>
  <c r="Y104" i="15"/>
  <c r="Y106" i="15"/>
  <c r="Y99" i="15"/>
  <c r="Y105" i="15"/>
  <c r="Y101" i="15"/>
  <c r="U109" i="15"/>
  <c r="U135" i="15"/>
  <c r="U131" i="15"/>
  <c r="U115" i="15"/>
  <c r="P142" i="15"/>
  <c r="Q147" i="15" s="1"/>
  <c r="U102" i="15"/>
  <c r="U133" i="15"/>
  <c r="U101" i="15"/>
  <c r="U116" i="15"/>
  <c r="T13" i="15"/>
  <c r="U19" i="15" s="1"/>
  <c r="U134" i="15"/>
  <c r="U100" i="15"/>
  <c r="U119" i="15"/>
  <c r="U106" i="15"/>
  <c r="U97" i="15"/>
  <c r="U114" i="15"/>
  <c r="U98" i="15"/>
  <c r="U113" i="15"/>
  <c r="U129" i="15"/>
  <c r="U120" i="15"/>
  <c r="U110" i="15"/>
  <c r="U111" i="15"/>
  <c r="U94" i="15"/>
  <c r="U104" i="15"/>
  <c r="U96" i="15"/>
  <c r="U118" i="15"/>
  <c r="U105" i="15"/>
  <c r="U121" i="15"/>
  <c r="U125" i="15"/>
  <c r="U122" i="15"/>
  <c r="U123" i="15"/>
  <c r="T12" i="15"/>
  <c r="U18" i="15" s="1"/>
  <c r="U99" i="15"/>
  <c r="U126" i="15"/>
  <c r="U127" i="15"/>
  <c r="U9" i="15"/>
  <c r="U8" i="15"/>
  <c r="Y107" i="15"/>
  <c r="U7" i="15"/>
  <c r="V147" i="15"/>
  <c r="U132" i="15"/>
  <c r="U130" i="15"/>
  <c r="U103" i="15"/>
  <c r="U108" i="15"/>
  <c r="U112" i="15"/>
  <c r="AC118" i="15"/>
  <c r="AA137" i="15"/>
  <c r="AB127" i="15" s="1"/>
  <c r="S137" i="15"/>
  <c r="S138" i="15" s="1"/>
  <c r="P141" i="15" s="1"/>
  <c r="T14" i="15"/>
  <c r="U20" i="15" s="1"/>
  <c r="U124" i="15"/>
  <c r="T15" i="15"/>
  <c r="U21" i="15" s="1"/>
  <c r="T137" i="15"/>
  <c r="T138" i="15" s="1"/>
  <c r="AC98" i="15"/>
  <c r="U117" i="15"/>
  <c r="U107" i="15"/>
  <c r="U128" i="15"/>
  <c r="AC137" i="15" l="1"/>
  <c r="AD102" i="15" s="1"/>
  <c r="AE102" i="15" s="1"/>
  <c r="AB119" i="15"/>
  <c r="AB126" i="15"/>
  <c r="AB135" i="15"/>
  <c r="V138" i="15"/>
  <c r="Z144" i="15" s="1"/>
  <c r="AC144" i="15" s="1"/>
  <c r="AD144" i="15" s="1"/>
  <c r="AB106" i="15"/>
  <c r="AB121" i="15"/>
  <c r="AB94" i="15"/>
  <c r="AB93" i="15"/>
  <c r="S12" i="15"/>
  <c r="S15" i="15"/>
  <c r="AB96" i="15"/>
  <c r="AB102" i="15"/>
  <c r="AB97" i="15"/>
  <c r="AB100" i="15"/>
  <c r="S4" i="15"/>
  <c r="S147" i="15" s="1"/>
  <c r="S13" i="15"/>
  <c r="AB134" i="15"/>
  <c r="AB114" i="15"/>
  <c r="AB104" i="15"/>
  <c r="AB125" i="15"/>
  <c r="AB130" i="15"/>
  <c r="AB128" i="15"/>
  <c r="AB133" i="15"/>
  <c r="AB101" i="15"/>
  <c r="AB105" i="15"/>
  <c r="AB95" i="15"/>
  <c r="T16" i="15"/>
  <c r="U22" i="15" s="1"/>
  <c r="U137" i="15"/>
  <c r="S14" i="15"/>
  <c r="AB109" i="15"/>
  <c r="W138" i="15"/>
  <c r="AB103" i="15"/>
  <c r="AB107" i="15"/>
  <c r="AB110" i="15"/>
  <c r="AB120" i="15"/>
  <c r="AB123" i="15"/>
  <c r="AB116" i="15"/>
  <c r="AB115" i="15"/>
  <c r="AB111" i="15"/>
  <c r="AB108" i="15"/>
  <c r="AB118" i="15"/>
  <c r="AB113" i="15"/>
  <c r="AB112" i="15"/>
  <c r="AB129" i="15"/>
  <c r="AB132" i="15"/>
  <c r="AB98" i="15"/>
  <c r="AB124" i="15"/>
  <c r="AB131" i="15"/>
  <c r="AB99" i="15"/>
  <c r="AB122" i="15"/>
  <c r="AB117" i="15"/>
  <c r="AD108" i="15"/>
  <c r="AE108" i="15" s="1"/>
  <c r="AD132" i="15"/>
  <c r="AD119" i="15"/>
  <c r="AE119" i="15" s="1"/>
  <c r="AF119" i="15" s="1"/>
  <c r="AG119" i="15" s="1"/>
  <c r="AH119" i="15" s="1"/>
  <c r="AI119" i="15" s="1"/>
  <c r="AD93" i="15"/>
  <c r="AD94" i="15"/>
  <c r="AD122" i="15"/>
  <c r="AE122" i="15" s="1"/>
  <c r="AF122" i="15" s="1"/>
  <c r="AG122" i="15" s="1"/>
  <c r="AH122" i="15" s="1"/>
  <c r="AI122" i="15" s="1"/>
  <c r="AD101" i="15"/>
  <c r="AE101" i="15" s="1"/>
  <c r="AD125" i="15"/>
  <c r="AE125" i="15" s="1"/>
  <c r="AF125" i="15" s="1"/>
  <c r="AG125" i="15" s="1"/>
  <c r="AH125" i="15" s="1"/>
  <c r="AI125" i="15" s="1"/>
  <c r="AD98" i="15"/>
  <c r="AE98" i="15" s="1"/>
  <c r="AD99" i="15"/>
  <c r="AE99" i="15" s="1"/>
  <c r="AD135" i="15"/>
  <c r="AD96" i="15"/>
  <c r="AD111" i="15"/>
  <c r="AE111" i="15" s="1"/>
  <c r="AF111" i="15" s="1"/>
  <c r="AG111" i="15" s="1"/>
  <c r="AH111" i="15" s="1"/>
  <c r="AI111" i="15" s="1"/>
  <c r="AD110" i="15"/>
  <c r="AE110" i="15" s="1"/>
  <c r="AF110" i="15" s="1"/>
  <c r="AG110" i="15" s="1"/>
  <c r="AH110" i="15" s="1"/>
  <c r="AI110" i="15" s="1"/>
  <c r="AD103" i="15"/>
  <c r="AE103" i="15" s="1"/>
  <c r="AD104" i="15"/>
  <c r="AE104" i="15" s="1"/>
  <c r="AD128" i="15"/>
  <c r="AD123" i="15"/>
  <c r="AE123" i="15" s="1"/>
  <c r="AF123" i="15" s="1"/>
  <c r="AG123" i="15" s="1"/>
  <c r="AH123" i="15" s="1"/>
  <c r="AI123" i="15" s="1"/>
  <c r="AD112" i="15"/>
  <c r="AE112" i="15" s="1"/>
  <c r="AF112" i="15" s="1"/>
  <c r="AG112" i="15" s="1"/>
  <c r="AH112" i="15" s="1"/>
  <c r="AI112" i="15" s="1"/>
  <c r="AD121" i="15"/>
  <c r="AE121" i="15" s="1"/>
  <c r="AF121" i="15" s="1"/>
  <c r="AG121" i="15" s="1"/>
  <c r="AH121" i="15" s="1"/>
  <c r="AI121" i="15" s="1"/>
  <c r="AD107" i="15" l="1"/>
  <c r="AE107" i="15" s="1"/>
  <c r="AD109" i="15"/>
  <c r="AE109" i="15" s="1"/>
  <c r="AF109" i="15" s="1"/>
  <c r="AG109" i="15" s="1"/>
  <c r="AH109" i="15" s="1"/>
  <c r="AI109" i="15" s="1"/>
  <c r="AD114" i="15"/>
  <c r="AE114" i="15" s="1"/>
  <c r="AF114" i="15" s="1"/>
  <c r="AG114" i="15" s="1"/>
  <c r="AH114" i="15" s="1"/>
  <c r="AI114" i="15" s="1"/>
  <c r="AD115" i="15"/>
  <c r="AE115" i="15" s="1"/>
  <c r="AF115" i="15" s="1"/>
  <c r="AG115" i="15" s="1"/>
  <c r="AH115" i="15" s="1"/>
  <c r="AI115" i="15" s="1"/>
  <c r="AD117" i="15"/>
  <c r="AE117" i="15" s="1"/>
  <c r="AF117" i="15" s="1"/>
  <c r="AG117" i="15" s="1"/>
  <c r="AH117" i="15" s="1"/>
  <c r="AI117" i="15" s="1"/>
  <c r="AD126" i="15"/>
  <c r="AE126" i="15" s="1"/>
  <c r="AF126" i="15" s="1"/>
  <c r="AG126" i="15" s="1"/>
  <c r="AH126" i="15" s="1"/>
  <c r="AI126" i="15" s="1"/>
  <c r="AD130" i="15"/>
  <c r="AD113" i="15"/>
  <c r="AE113" i="15" s="1"/>
  <c r="AF113" i="15" s="1"/>
  <c r="AG113" i="15" s="1"/>
  <c r="AH113" i="15" s="1"/>
  <c r="AI113" i="15" s="1"/>
  <c r="AD129" i="15"/>
  <c r="AD133" i="15"/>
  <c r="AD105" i="15"/>
  <c r="AE105" i="15" s="1"/>
  <c r="AD97" i="15"/>
  <c r="AE97" i="15" s="1"/>
  <c r="AD106" i="15"/>
  <c r="AE106" i="15" s="1"/>
  <c r="AD120" i="15"/>
  <c r="AE120" i="15" s="1"/>
  <c r="AF120" i="15" s="1"/>
  <c r="AG120" i="15" s="1"/>
  <c r="AH120" i="15" s="1"/>
  <c r="AI120" i="15" s="1"/>
  <c r="AD127" i="15"/>
  <c r="AD124" i="15"/>
  <c r="AE124" i="15" s="1"/>
  <c r="AF124" i="15" s="1"/>
  <c r="AG124" i="15" s="1"/>
  <c r="AH124" i="15" s="1"/>
  <c r="AI124" i="15" s="1"/>
  <c r="AD118" i="15"/>
  <c r="AE118" i="15" s="1"/>
  <c r="AF118" i="15" s="1"/>
  <c r="AG118" i="15" s="1"/>
  <c r="AH118" i="15" s="1"/>
  <c r="AI118" i="15" s="1"/>
  <c r="AD131" i="15"/>
  <c r="AD95" i="15"/>
  <c r="AD116" i="15"/>
  <c r="AE116" i="15" s="1"/>
  <c r="AF116" i="15" s="1"/>
  <c r="AG116" i="15" s="1"/>
  <c r="AH116" i="15" s="1"/>
  <c r="AI116" i="15" s="1"/>
  <c r="AD100" i="15"/>
  <c r="AE100" i="15" s="1"/>
  <c r="AD134" i="15"/>
  <c r="S5" i="15"/>
  <c r="S6" i="15" s="1"/>
  <c r="S8" i="15" s="1"/>
  <c r="Z143" i="15"/>
  <c r="AC143" i="15" s="1"/>
  <c r="AJ121" i="15" s="1"/>
  <c r="S16" i="15"/>
  <c r="AB137" i="15"/>
  <c r="T147" i="15"/>
  <c r="AD137" i="15" l="1"/>
  <c r="AJ112" i="15"/>
  <c r="AK112" i="15" s="1"/>
  <c r="AJ109" i="15"/>
  <c r="AJ113" i="15"/>
  <c r="AJ118" i="15"/>
  <c r="AL118" i="15" s="1"/>
  <c r="U14" i="15"/>
  <c r="V19" i="15"/>
  <c r="U147" i="15"/>
  <c r="AJ115" i="15"/>
  <c r="AJ111" i="15"/>
  <c r="AK111" i="15" s="1"/>
  <c r="AJ126" i="15"/>
  <c r="AJ124" i="15"/>
  <c r="AK124" i="15" s="1"/>
  <c r="AJ119" i="15"/>
  <c r="AL119" i="15" s="1"/>
  <c r="S9" i="15"/>
  <c r="U15" i="15"/>
  <c r="U16" i="15"/>
  <c r="S7" i="15"/>
  <c r="U13" i="15"/>
  <c r="U12" i="15"/>
  <c r="AJ117" i="15"/>
  <c r="AK117" i="15" s="1"/>
  <c r="AJ120" i="15"/>
  <c r="AL120" i="15" s="1"/>
  <c r="AJ123" i="15"/>
  <c r="AL123" i="15" s="1"/>
  <c r="AJ125" i="15"/>
  <c r="AL125" i="15" s="1"/>
  <c r="AJ114" i="15"/>
  <c r="AK114" i="15" s="1"/>
  <c r="AJ122" i="15"/>
  <c r="AL122" i="15" s="1"/>
  <c r="AJ116" i="15"/>
  <c r="AK116" i="15" s="1"/>
  <c r="AJ110" i="15"/>
  <c r="AL110" i="15" s="1"/>
  <c r="AD143" i="15"/>
  <c r="AL97" i="15"/>
  <c r="AL100" i="15"/>
  <c r="AL103" i="15"/>
  <c r="AL105" i="15"/>
  <c r="AL102" i="15"/>
  <c r="AL99" i="15"/>
  <c r="AL101" i="15"/>
  <c r="AL98" i="15"/>
  <c r="AL104" i="15"/>
  <c r="AG137" i="15"/>
  <c r="V20" i="15"/>
  <c r="V21" i="15"/>
  <c r="AE137" i="15"/>
  <c r="AE138" i="15" s="1"/>
  <c r="AH137" i="15"/>
  <c r="AL126" i="15"/>
  <c r="AK126" i="15"/>
  <c r="AL115" i="15"/>
  <c r="AK115" i="15"/>
  <c r="AK109" i="15"/>
  <c r="AL109" i="15"/>
  <c r="AL112" i="15"/>
  <c r="AL113" i="15"/>
  <c r="AK113" i="15"/>
  <c r="AK118" i="15"/>
  <c r="AL108" i="15"/>
  <c r="AK121" i="15"/>
  <c r="AL121" i="15"/>
  <c r="AK125" i="15" l="1"/>
  <c r="AK119" i="15"/>
  <c r="AL111" i="15"/>
  <c r="AL124" i="15"/>
  <c r="AL116" i="15"/>
  <c r="AK110" i="15"/>
  <c r="AL117" i="15"/>
  <c r="AK122" i="15"/>
  <c r="AK120" i="15"/>
  <c r="AK123" i="15"/>
  <c r="AL114" i="15"/>
  <c r="AJ137" i="15"/>
  <c r="V14" i="15"/>
  <c r="V12" i="15"/>
  <c r="AN103" i="15"/>
  <c r="V15" i="15"/>
  <c r="V18" i="15"/>
  <c r="AI137" i="15"/>
  <c r="V16" i="15" l="1"/>
  <c r="W16" i="15" s="1"/>
  <c r="AL137" i="15"/>
  <c r="AO103" i="15" s="1"/>
  <c r="V13" i="15"/>
  <c r="W13" i="15" s="1"/>
  <c r="W14" i="15"/>
  <c r="V22" i="15"/>
  <c r="W12" i="15"/>
  <c r="W15" i="15" l="1"/>
  <c r="W22" i="15"/>
  <c r="W20" i="15"/>
  <c r="W19" i="15"/>
  <c r="W21" i="15"/>
  <c r="W18" i="15"/>
</calcChain>
</file>

<file path=xl/sharedStrings.xml><?xml version="1.0" encoding="utf-8"?>
<sst xmlns="http://schemas.openxmlformats.org/spreadsheetml/2006/main" count="288" uniqueCount="200">
  <si>
    <t>Stratum</t>
  </si>
  <si>
    <t>Average</t>
  </si>
  <si>
    <t>Weighted</t>
  </si>
  <si>
    <t>Biomass</t>
  </si>
  <si>
    <t xml:space="preserve">Strata </t>
  </si>
  <si>
    <t>Standard</t>
  </si>
  <si>
    <t>Layer 1</t>
  </si>
  <si>
    <t xml:space="preserve">TS     </t>
  </si>
  <si>
    <t xml:space="preserve">Area   </t>
  </si>
  <si>
    <t xml:space="preserve">Mean Sa </t>
  </si>
  <si>
    <t>Density</t>
  </si>
  <si>
    <t xml:space="preserve"> Error  </t>
  </si>
  <si>
    <t xml:space="preserve">       </t>
  </si>
  <si>
    <t>(dB/kg)</t>
  </si>
  <si>
    <t xml:space="preserve"> (kmý) </t>
  </si>
  <si>
    <t xml:space="preserve">(/mý)   </t>
  </si>
  <si>
    <t>(kg/mý)</t>
  </si>
  <si>
    <t xml:space="preserve">(tons) </t>
  </si>
  <si>
    <t xml:space="preserve"> (tons) </t>
  </si>
  <si>
    <t xml:space="preserve">  (%)   </t>
  </si>
  <si>
    <t>Strength</t>
  </si>
  <si>
    <t>Total</t>
  </si>
  <si>
    <t>Regression results and TS calc. Using frozen sample length-weight data</t>
  </si>
  <si>
    <t>Len(mm) for SABS or Midlen for Industry</t>
  </si>
  <si>
    <t>SAMPLID</t>
  </si>
  <si>
    <t>AREA</t>
  </si>
  <si>
    <t>LAT</t>
  </si>
  <si>
    <t>LON</t>
  </si>
  <si>
    <t>SDATE</t>
  </si>
  <si>
    <t>FishNo</t>
  </si>
  <si>
    <t>LEN</t>
  </si>
  <si>
    <t>WT</t>
  </si>
  <si>
    <t>MidLen(mm)</t>
  </si>
  <si>
    <t>Log length with adjustment for freezing applied to frozen sabs samples</t>
  </si>
  <si>
    <t>Log wt</t>
  </si>
  <si>
    <t xml:space="preserve">Number of Fish </t>
  </si>
  <si>
    <t>TS based on survey sample data</t>
  </si>
  <si>
    <t>weight(g)/len(cm)</t>
  </si>
  <si>
    <t>x=</t>
  </si>
  <si>
    <t>Mean length (mm)</t>
  </si>
  <si>
    <t>L28cm weight (kg)</t>
  </si>
  <si>
    <t>intercept</t>
  </si>
  <si>
    <t>Mean weight (kg)</t>
  </si>
  <si>
    <t>TS for 28cm &amp; sample mean wt</t>
  </si>
  <si>
    <t>Based  on 28cm std only (no samples)</t>
  </si>
  <si>
    <t>Target Strength (38kHz) =</t>
  </si>
  <si>
    <t>TS for 28cm (38Khz)</t>
  </si>
  <si>
    <t>Standard TS for 28cm (38Khz)</t>
  </si>
  <si>
    <t>Target Strength (50kHz) =</t>
  </si>
  <si>
    <t>TS for 28cm (50Khz)</t>
  </si>
  <si>
    <t>Standard TS for 28cm (50Khz)</t>
  </si>
  <si>
    <t>Target Strength (75kHz) =</t>
  </si>
  <si>
    <t>TS for 28cm (75Khz)</t>
  </si>
  <si>
    <t>Standard TS for 28cm (75Khz)</t>
  </si>
  <si>
    <t>Target Strength (120kHz) =</t>
  </si>
  <si>
    <t>TS for 28cm (120Khz)</t>
  </si>
  <si>
    <t>Standard TS for 28cm (120Khz)</t>
  </si>
  <si>
    <t>Length Grouping</t>
  </si>
  <si>
    <t>% by Size</t>
  </si>
  <si>
    <t>Mean length by group</t>
  </si>
  <si>
    <t>TS (wt)</t>
  </si>
  <si>
    <t>Biomass TS wt</t>
  </si>
  <si>
    <t>% Biomass TS wt</t>
  </si>
  <si>
    <t>Proportion &lt;23.0cm =</t>
  </si>
  <si>
    <t>Proportion 23-30cm=</t>
  </si>
  <si>
    <t>Proportion &gt;30.0cm =</t>
  </si>
  <si>
    <t>Proportion &gt;23.0cm =</t>
  </si>
  <si>
    <t>TS #</t>
  </si>
  <si>
    <t>Biomass TS #</t>
  </si>
  <si>
    <t>% biomass TS #</t>
  </si>
  <si>
    <t>Note: place regression results in cell below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</si>
  <si>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</si>
  <si>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</si>
  <si>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</si>
  <si>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</si>
  <si>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</si>
  <si>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</si>
  <si>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</si>
  <si>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</si>
  <si>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</si>
  <si>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</si>
  <si>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</si>
  <si>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</si>
  <si>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</si>
  <si>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</si>
  <si>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</si>
  <si>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</si>
  <si>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</si>
  <si>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</si>
  <si>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</si>
  <si>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</si>
  <si>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</si>
  <si>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</si>
  <si>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</si>
  <si>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</si>
  <si>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Measured</t>
  </si>
  <si>
    <t>TS(number) midpoint</t>
  </si>
  <si>
    <t>TS(weight)</t>
  </si>
  <si>
    <t>Input latest</t>
  </si>
  <si>
    <t>Prop of overall Sa by length</t>
  </si>
  <si>
    <t>SA proportioned</t>
  </si>
  <si>
    <t>Calculate</t>
  </si>
  <si>
    <t>Compute</t>
  </si>
  <si>
    <t>Multiply Avg Density</t>
  </si>
  <si>
    <t>Matches Allen</t>
  </si>
  <si>
    <t>Copy LF here for transfer after fix rows</t>
  </si>
  <si>
    <t>Midpoint</t>
  </si>
  <si>
    <t>TS=(20*LOG(LENcm)-71.9)</t>
  </si>
  <si>
    <t>TS using wt</t>
  </si>
  <si>
    <t>Sample</t>
  </si>
  <si>
    <t>TS x # meas</t>
  </si>
  <si>
    <t>% of TS x # meas</t>
  </si>
  <si>
    <t>Convert SA to arith</t>
  </si>
  <si>
    <t>by TS x # meas</t>
  </si>
  <si>
    <t>Density in nos</t>
  </si>
  <si>
    <t>Overall</t>
  </si>
  <si>
    <t>x TS% # meas</t>
  </si>
  <si>
    <t>Convert to log</t>
  </si>
  <si>
    <t>Biomass by length</t>
  </si>
  <si>
    <t>Length</t>
  </si>
  <si>
    <t>Nosamp</t>
  </si>
  <si>
    <t>LENGTH_MM</t>
  </si>
  <si>
    <t>NOSAMP</t>
  </si>
  <si>
    <t>Len/cm</t>
  </si>
  <si>
    <t>len_mm x freq</t>
  </si>
  <si>
    <t>lencm x freq</t>
  </si>
  <si>
    <t>Proportions by size</t>
  </si>
  <si>
    <t>CalcWt</t>
  </si>
  <si>
    <t>TS by length not using l/w</t>
  </si>
  <si>
    <t>to arithmetic</t>
  </si>
  <si>
    <t>No_Meas</t>
  </si>
  <si>
    <t>% no meas</t>
  </si>
  <si>
    <t>10^((SA-TS)/10)</t>
  </si>
  <si>
    <t>Nos x area</t>
  </si>
  <si>
    <t>Wt by area</t>
  </si>
  <si>
    <t>Density x %</t>
  </si>
  <si>
    <t>Density x Area</t>
  </si>
  <si>
    <t>sum</t>
  </si>
  <si>
    <t>Sum</t>
  </si>
  <si>
    <t>Mean</t>
  </si>
  <si>
    <t>SSB total</t>
  </si>
  <si>
    <t>Adds up to avg density</t>
  </si>
  <si>
    <t>This adds up to Overall SSB</t>
  </si>
  <si>
    <t>mean length</t>
  </si>
  <si>
    <t>mean wt</t>
  </si>
  <si>
    <t>Overall results</t>
  </si>
  <si>
    <t>Check Sa back to log</t>
  </si>
  <si>
    <t>Wted by TS#</t>
  </si>
  <si>
    <t>Wted by TS wt</t>
  </si>
  <si>
    <t>Note: LF avg calculated by sql job should be the same as in cells below</t>
  </si>
  <si>
    <t>avg</t>
  </si>
  <si>
    <t>in wt=</t>
  </si>
  <si>
    <t>biomass(t)</t>
  </si>
  <si>
    <t>in nos=</t>
  </si>
  <si>
    <t>numbers(x1000)</t>
  </si>
  <si>
    <t xml:space="preserve">copy and adjust lf groups here then move above </t>
  </si>
  <si>
    <t>Number</t>
  </si>
  <si>
    <t>Min</t>
  </si>
  <si>
    <t>Max</t>
  </si>
  <si>
    <t>FISHING_VESSEL_1</t>
  </si>
  <si>
    <t>Fish</t>
  </si>
  <si>
    <t>Len</t>
  </si>
  <si>
    <t>Wt</t>
  </si>
  <si>
    <t xml:space="preserve">Mean </t>
  </si>
  <si>
    <t>Target</t>
  </si>
  <si>
    <t>Wt 28 cm</t>
  </si>
  <si>
    <t>TS 28 cm</t>
  </si>
  <si>
    <t>Samples</t>
  </si>
  <si>
    <t>Len/Wt</t>
  </si>
  <si>
    <t>Length (mm)</t>
  </si>
  <si>
    <t xml:space="preserve">Weight </t>
  </si>
  <si>
    <t>(gm)</t>
  </si>
  <si>
    <t>dB/kg</t>
  </si>
  <si>
    <t>Data ready to copy to sample summary table; just fill in number of samples</t>
  </si>
  <si>
    <t>NAFO</t>
  </si>
  <si>
    <t>Area</t>
  </si>
  <si>
    <t>Lady Janice II</t>
  </si>
  <si>
    <t>Lady Melissa</t>
  </si>
  <si>
    <t>WTED No</t>
  </si>
  <si>
    <t>WTED NO</t>
  </si>
  <si>
    <t>Sealife II</t>
  </si>
  <si>
    <t>No Measured</t>
  </si>
  <si>
    <t>Wt#Measured</t>
  </si>
  <si>
    <t>NoSamp</t>
  </si>
  <si>
    <t>Catch_MT</t>
  </si>
  <si>
    <t>German_outbox</t>
  </si>
  <si>
    <t>German_inbox</t>
  </si>
  <si>
    <t>Morning Star</t>
  </si>
  <si>
    <t>Total_2013_09_17</t>
  </si>
  <si>
    <t>&lt;23cm</t>
  </si>
  <si>
    <t>%</t>
  </si>
  <si>
    <t>Leroy and Barry II</t>
  </si>
  <si>
    <t>Tasha Marie</t>
  </si>
  <si>
    <t>Brunswick Provider</t>
  </si>
  <si>
    <t>Wed Mar 06                                                                                 page    1</t>
  </si>
  <si>
    <t>Seal Island survey box purse seine lf samples German Bank box collected on dates 14-sep-2018 and 18-sep-2018</t>
  </si>
  <si>
    <t>Seal Island - SAMPLE collected close to Aug 26, 2018 survey FOR LENGTH - WEIGHT</t>
  </si>
  <si>
    <t>_x000C_Wed Mar 06                                                                                                     page    1</t>
  </si>
  <si>
    <t xml:space="preserve">                                  Seal Island detail samples for survey on 16-sep-2018</t>
  </si>
  <si>
    <t>5 samples near Sep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</si>
</sst>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* #,##0.00_-;\-* #,##0.00_-;_-* &quot;-&quot;??_-;_-@_-"/>
    <numFmt numFmtId="165" formatCode="0.00000"/>
    <numFmt numFmtId="166" formatCode="0.0000"/>
    <numFmt numFmtId="167" formatCode="0.000"/>
    <numFmt numFmtId="168" formatCode="0.0%"/>
    <numFmt numFmtId="169" formatCode="0.0"/>
    <numFmt numFmtId="170" formatCode="0.000000"/>
    <numFmt numFmtId="171" formatCode="_(* #,##0_);_(* \(#,##0\);_(* &quot;-&quot;??_);_(@_)"/>
    <numFmt numFmtId="172" formatCode="_(* #,##0.00000000_);_(* \(#,##0.00000000\);_(* &quot;-&quot;??_);_(@_)"/>
    <numFmt numFmtId="173" formatCode="[$-1009]d\-mmm\-yy;@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9" fontId="1" fillId="3" borderId="4" xfId="3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0" xfId="0" applyBorder="1"/>
    <xf numFmtId="167" fontId="0" fillId="0" borderId="0" xfId="0" applyNumberFormat="1" applyFill="1" applyBorder="1"/>
    <xf numFmtId="0" fontId="2" fillId="0" borderId="0" xfId="0" applyFont="1" applyBorder="1"/>
    <xf numFmtId="0" fontId="0" fillId="0" borderId="4" xfId="0" applyBorder="1"/>
    <xf numFmtId="0" fontId="0" fillId="0" borderId="0" xfId="0" quotePrefix="1"/>
    <xf numFmtId="0" fontId="0" fillId="0" borderId="10" xfId="0" applyFill="1" applyBorder="1"/>
    <xf numFmtId="167" fontId="0" fillId="0" borderId="11" xfId="0" applyNumberFormat="1" applyFill="1" applyBorder="1"/>
    <xf numFmtId="15" fontId="0" fillId="0" borderId="0" xfId="0" applyNumberFormat="1"/>
    <xf numFmtId="165" fontId="0" fillId="3" borderId="0" xfId="0" applyNumberFormat="1" applyFill="1"/>
    <xf numFmtId="165" fontId="0" fillId="0" borderId="0" xfId="0" applyNumberFormat="1"/>
    <xf numFmtId="0" fontId="0" fillId="0" borderId="12" xfId="0" applyBorder="1"/>
    <xf numFmtId="1" fontId="0" fillId="0" borderId="13" xfId="0" applyNumberFormat="1" applyBorder="1"/>
    <xf numFmtId="0" fontId="0" fillId="0" borderId="14" xfId="0" applyBorder="1"/>
    <xf numFmtId="167" fontId="0" fillId="0" borderId="13" xfId="0" applyNumberFormat="1" applyBorder="1"/>
    <xf numFmtId="170" fontId="0" fillId="0" borderId="0" xfId="0" applyNumberFormat="1" applyFill="1" applyBorder="1"/>
    <xf numFmtId="0" fontId="0" fillId="0" borderId="15" xfId="0" applyBorder="1"/>
    <xf numFmtId="167" fontId="0" fillId="0" borderId="16" xfId="0" applyNumberFormat="1" applyBorder="1"/>
    <xf numFmtId="0" fontId="0" fillId="0" borderId="13" xfId="0" applyBorder="1"/>
    <xf numFmtId="1" fontId="0" fillId="0" borderId="0" xfId="0" applyNumberFormat="1"/>
    <xf numFmtId="0" fontId="0" fillId="0" borderId="12" xfId="0" applyFill="1" applyBorder="1"/>
    <xf numFmtId="167" fontId="0" fillId="0" borderId="13" xfId="0" applyNumberFormat="1" applyFill="1" applyBorder="1"/>
    <xf numFmtId="0" fontId="0" fillId="0" borderId="7" xfId="0" applyBorder="1"/>
    <xf numFmtId="167" fontId="0" fillId="0" borderId="17" xfId="0" applyNumberFormat="1" applyBorder="1"/>
    <xf numFmtId="0" fontId="0" fillId="0" borderId="18" xfId="0" applyBorder="1"/>
    <xf numFmtId="165" fontId="0" fillId="0" borderId="0" xfId="0" applyNumberFormat="1" applyBorder="1"/>
    <xf numFmtId="0" fontId="0" fillId="0" borderId="15" xfId="0" applyFill="1" applyBorder="1"/>
    <xf numFmtId="167" fontId="0" fillId="0" borderId="16" xfId="0" applyNumberFormat="1" applyFill="1" applyBorder="1"/>
    <xf numFmtId="0" fontId="0" fillId="0" borderId="19" xfId="0" applyFill="1" applyBorder="1"/>
    <xf numFmtId="167" fontId="0" fillId="0" borderId="20" xfId="0" applyNumberFormat="1" applyFill="1" applyBorder="1"/>
    <xf numFmtId="0" fontId="0" fillId="0" borderId="21" xfId="0" applyBorder="1"/>
    <xf numFmtId="0" fontId="0" fillId="0" borderId="19" xfId="0" applyBorder="1"/>
    <xf numFmtId="165" fontId="0" fillId="0" borderId="0" xfId="0" applyNumberForma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3" borderId="23" xfId="0" applyFill="1" applyBorder="1"/>
    <xf numFmtId="0" fontId="0" fillId="3" borderId="24" xfId="0" applyFill="1" applyBorder="1"/>
    <xf numFmtId="0" fontId="0" fillId="0" borderId="25" xfId="0" applyBorder="1"/>
    <xf numFmtId="168" fontId="0" fillId="0" borderId="2" xfId="0" applyNumberFormat="1" applyBorder="1"/>
    <xf numFmtId="169" fontId="0" fillId="0" borderId="2" xfId="0" applyNumberFormat="1" applyBorder="1"/>
    <xf numFmtId="167" fontId="0" fillId="0" borderId="26" xfId="0" applyNumberFormat="1" applyFill="1" applyBorder="1"/>
    <xf numFmtId="171" fontId="1" fillId="3" borderId="2" xfId="2" applyNumberFormat="1" applyFill="1" applyBorder="1"/>
    <xf numFmtId="9" fontId="1" fillId="3" borderId="26" xfId="3" applyFill="1" applyBorder="1"/>
    <xf numFmtId="168" fontId="0" fillId="0" borderId="4" xfId="0" applyNumberFormat="1" applyBorder="1"/>
    <xf numFmtId="169" fontId="0" fillId="0" borderId="4" xfId="0" applyNumberFormat="1" applyBorder="1"/>
    <xf numFmtId="167" fontId="0" fillId="0" borderId="27" xfId="0" applyNumberFormat="1" applyFill="1" applyBorder="1"/>
    <xf numFmtId="171" fontId="1" fillId="3" borderId="4" xfId="2" applyNumberFormat="1" applyFill="1" applyBorder="1"/>
    <xf numFmtId="0" fontId="0" fillId="0" borderId="28" xfId="0" applyBorder="1"/>
    <xf numFmtId="0" fontId="0" fillId="0" borderId="29" xfId="0" applyBorder="1"/>
    <xf numFmtId="9" fontId="1" fillId="0" borderId="30" xfId="3" applyFont="1" applyFill="1" applyBorder="1"/>
    <xf numFmtId="0" fontId="0" fillId="0" borderId="30" xfId="0" applyFill="1" applyBorder="1"/>
    <xf numFmtId="0" fontId="0" fillId="0" borderId="0" xfId="0" applyFill="1" applyBorder="1" applyAlignment="1"/>
    <xf numFmtId="171" fontId="1" fillId="0" borderId="31" xfId="2" applyNumberFormat="1" applyBorder="1"/>
    <xf numFmtId="9" fontId="1" fillId="0" borderId="26" xfId="3" applyFill="1" applyBorder="1"/>
    <xf numFmtId="171" fontId="1" fillId="0" borderId="32" xfId="2" applyNumberFormat="1" applyFill="1" applyBorder="1"/>
    <xf numFmtId="9" fontId="1" fillId="0" borderId="4" xfId="3" applyFill="1" applyBorder="1"/>
    <xf numFmtId="0" fontId="3" fillId="0" borderId="0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Continuous"/>
    </xf>
    <xf numFmtId="0" fontId="0" fillId="0" borderId="21" xfId="0" applyFill="1" applyBorder="1" applyAlignment="1"/>
    <xf numFmtId="0" fontId="3" fillId="0" borderId="33" xfId="0" applyFont="1" applyFill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 applyFill="1"/>
    <xf numFmtId="165" fontId="0" fillId="2" borderId="0" xfId="0" applyNumberFormat="1" applyFill="1"/>
    <xf numFmtId="1" fontId="0" fillId="2" borderId="0" xfId="0" applyNumberFormat="1" applyFill="1"/>
    <xf numFmtId="169" fontId="0" fillId="0" borderId="0" xfId="0" applyNumberFormat="1" applyFill="1"/>
    <xf numFmtId="168" fontId="1" fillId="3" borderId="0" xfId="3" applyNumberFormat="1" applyFill="1"/>
    <xf numFmtId="167" fontId="0" fillId="0" borderId="0" xfId="0" applyNumberFormat="1" applyBorder="1"/>
    <xf numFmtId="168" fontId="1" fillId="0" borderId="0" xfId="3" applyNumberFormat="1"/>
    <xf numFmtId="169" fontId="0" fillId="0" borderId="0" xfId="0" applyNumberFormat="1"/>
    <xf numFmtId="168" fontId="1" fillId="2" borderId="0" xfId="3" applyNumberFormat="1" applyFill="1"/>
    <xf numFmtId="9" fontId="1" fillId="0" borderId="0" xfId="3"/>
    <xf numFmtId="172" fontId="1" fillId="3" borderId="0" xfId="2" applyNumberFormat="1" applyFill="1"/>
    <xf numFmtId="168" fontId="0" fillId="0" borderId="0" xfId="0" applyNumberFormat="1"/>
    <xf numFmtId="0" fontId="1" fillId="0" borderId="0" xfId="3" applyNumberFormat="1" applyFont="1"/>
    <xf numFmtId="171" fontId="1" fillId="0" borderId="0" xfId="2" applyNumberFormat="1"/>
    <xf numFmtId="43" fontId="1" fillId="0" borderId="0" xfId="2" applyFill="1"/>
    <xf numFmtId="43" fontId="1" fillId="3" borderId="0" xfId="2" applyFill="1"/>
    <xf numFmtId="0" fontId="4" fillId="3" borderId="0" xfId="0" applyFont="1" applyFill="1"/>
    <xf numFmtId="166" fontId="0" fillId="0" borderId="0" xfId="0" applyNumberFormat="1" applyFill="1" applyBorder="1"/>
    <xf numFmtId="0" fontId="5" fillId="2" borderId="0" xfId="0" applyFont="1" applyFill="1"/>
    <xf numFmtId="166" fontId="0" fillId="0" borderId="0" xfId="0" applyNumberFormat="1"/>
    <xf numFmtId="171" fontId="1" fillId="0" borderId="0" xfId="2" applyNumberFormat="1" applyFill="1"/>
    <xf numFmtId="166" fontId="0" fillId="0" borderId="0" xfId="0" applyNumberFormat="1" applyBorder="1"/>
    <xf numFmtId="0" fontId="5" fillId="2" borderId="0" xfId="0" applyFont="1" applyFill="1" applyBorder="1"/>
    <xf numFmtId="0" fontId="0" fillId="0" borderId="34" xfId="0" applyFill="1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35" xfId="0" applyBorder="1"/>
    <xf numFmtId="0" fontId="0" fillId="0" borderId="6" xfId="0" applyBorder="1"/>
    <xf numFmtId="0" fontId="0" fillId="0" borderId="36" xfId="0" applyBorder="1"/>
    <xf numFmtId="43" fontId="1" fillId="0" borderId="0" xfId="1"/>
    <xf numFmtId="15" fontId="4" fillId="0" borderId="0" xfId="0" applyNumberFormat="1" applyFont="1"/>
    <xf numFmtId="0" fontId="4" fillId="0" borderId="0" xfId="0" applyFont="1"/>
    <xf numFmtId="0" fontId="6" fillId="0" borderId="5" xfId="0" applyFont="1" applyBorder="1" applyAlignment="1">
      <alignment vertical="top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2" borderId="4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1" fontId="6" fillId="3" borderId="4" xfId="0" applyNumberFormat="1" applyFont="1" applyFill="1" applyBorder="1" applyAlignment="1">
      <alignment horizontal="left" vertical="center" wrapText="1"/>
    </xf>
    <xf numFmtId="167" fontId="6" fillId="3" borderId="4" xfId="0" applyNumberFormat="1" applyFont="1" applyFill="1" applyBorder="1" applyAlignment="1">
      <alignment horizontal="left" vertical="center" wrapText="1"/>
    </xf>
    <xf numFmtId="0" fontId="0" fillId="4" borderId="0" xfId="0" applyFill="1"/>
    <xf numFmtId="173" fontId="0" fillId="0" borderId="0" xfId="0" applyNumberFormat="1"/>
    <xf numFmtId="2" fontId="0" fillId="0" borderId="0" xfId="3" applyNumberFormat="1" applyFont="1" applyBorder="1"/>
    <xf numFmtId="0" fontId="4" fillId="0" borderId="0" xfId="0" applyFont="1" applyBorder="1"/>
    <xf numFmtId="164" fontId="0" fillId="0" borderId="0" xfId="0" applyNumberFormat="1"/>
    <xf numFmtId="0" fontId="1" fillId="0" borderId="0" xfId="0" applyFont="1"/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</cellXfs>
  <cellStyles count="4">
    <cellStyle name="Comma" xfId="1" builtinId="3"/>
    <cellStyle name="Comma_Scots_2009_08_12_acoustics" xfId="2" xr:uid="{00000000-0005-0000-0000-000001000000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1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Catch wted Samples Sep 16</a:t>
            </a: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1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23 samples; 4,289 measured</a:t>
            </a:r>
            <a:endParaRPr lang="en-CA" sz="1175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17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Mean Length = 26.1 cm</a:t>
            </a: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17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Mean weight = 134g</a:t>
            </a: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17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Percent # &lt;23cm = 0.2%</a:t>
            </a: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17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Percent # &gt;30 = 0.7%</a:t>
            </a:r>
          </a:p>
        </c:rich>
      </c:tx>
      <c:layout>
        <c:manualLayout>
          <c:xMode val="edge"/>
          <c:yMode val="edge"/>
          <c:x val="0.10782421428090719"/>
          <c:y val="4.10368205200842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808153505698666"/>
          <c:y val="3.6717101356959284E-2"/>
          <c:w val="0.86903496791407864"/>
          <c:h val="0.844493331210063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10E-4063-B390-89C108564622}"/>
              </c:ext>
            </c:extLst>
          </c:dPt>
          <c:dPt>
            <c:idx val="5"/>
            <c:invertIfNegative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10E-4063-B390-89C108564622}"/>
              </c:ext>
            </c:extLst>
          </c:dPt>
          <c:dPt>
            <c:idx val="6"/>
            <c:invertIfNegative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10E-4063-B390-89C108564622}"/>
              </c:ext>
            </c:extLst>
          </c:dPt>
          <c:dPt>
            <c:idx val="7"/>
            <c:invertIfNegative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10E-4063-B390-89C108564622}"/>
              </c:ext>
            </c:extLst>
          </c:dPt>
          <c:dPt>
            <c:idx val="8"/>
            <c:invertIfNegative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10E-4063-B390-89C108564622}"/>
              </c:ext>
            </c:extLst>
          </c:dPt>
          <c:dPt>
            <c:idx val="9"/>
            <c:invertIfNegative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10E-4063-B390-89C108564622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10E-4063-B390-89C108564622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10E-4063-B390-89C108564622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10E-4063-B390-89C108564622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10E-4063-B390-89C108564622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10E-4063-B390-89C108564622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10E-4063-B390-89C108564622}"/>
              </c:ext>
            </c:extLst>
          </c:dPt>
          <c:dPt>
            <c:idx val="33"/>
            <c:invertIfNegative val="0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310E-4063-B390-89C108564622}"/>
              </c:ext>
            </c:extLst>
          </c:dPt>
          <c:dPt>
            <c:idx val="34"/>
            <c:invertIfNegative val="0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10E-4063-B390-89C108564622}"/>
              </c:ext>
            </c:extLst>
          </c:dPt>
          <c:dPt>
            <c:idx val="35"/>
            <c:invertIfNegative val="0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310E-4063-B390-89C108564622}"/>
              </c:ext>
            </c:extLst>
          </c:dPt>
          <c:dPt>
            <c:idx val="36"/>
            <c:invertIfNegative val="0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310E-4063-B390-89C108564622}"/>
              </c:ext>
            </c:extLst>
          </c:dPt>
          <c:dPt>
            <c:idx val="37"/>
            <c:invertIfNegative val="0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310E-4063-B390-89C108564622}"/>
              </c:ext>
            </c:extLst>
          </c:dPt>
          <c:dPt>
            <c:idx val="38"/>
            <c:invertIfNegative val="0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310E-4063-B390-89C108564622}"/>
              </c:ext>
            </c:extLst>
          </c:dPt>
          <c:cat>
            <c:numRef>
              <c:f>'SI#1-Sep16 (TS)'!$R$93:$R$135</c:f>
              <c:numCache>
                <c:formatCode>0.0</c:formatCode>
                <c:ptCount val="43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  <c:pt idx="7">
                  <c:v>18.5</c:v>
                </c:pt>
                <c:pt idx="8">
                  <c:v>19</c:v>
                </c:pt>
                <c:pt idx="9">
                  <c:v>19.5</c:v>
                </c:pt>
                <c:pt idx="10">
                  <c:v>20</c:v>
                </c:pt>
                <c:pt idx="11">
                  <c:v>20.5</c:v>
                </c:pt>
                <c:pt idx="12">
                  <c:v>21</c:v>
                </c:pt>
                <c:pt idx="13">
                  <c:v>21.5</c:v>
                </c:pt>
                <c:pt idx="14">
                  <c:v>22</c:v>
                </c:pt>
                <c:pt idx="15">
                  <c:v>22.5</c:v>
                </c:pt>
                <c:pt idx="16">
                  <c:v>23</c:v>
                </c:pt>
                <c:pt idx="17">
                  <c:v>23.5</c:v>
                </c:pt>
                <c:pt idx="18">
                  <c:v>24</c:v>
                </c:pt>
                <c:pt idx="19">
                  <c:v>24.5</c:v>
                </c:pt>
                <c:pt idx="20">
                  <c:v>25</c:v>
                </c:pt>
                <c:pt idx="21">
                  <c:v>25.5</c:v>
                </c:pt>
                <c:pt idx="22">
                  <c:v>26</c:v>
                </c:pt>
                <c:pt idx="23">
                  <c:v>26.5</c:v>
                </c:pt>
                <c:pt idx="24">
                  <c:v>27</c:v>
                </c:pt>
                <c:pt idx="25">
                  <c:v>27.5</c:v>
                </c:pt>
                <c:pt idx="26">
                  <c:v>28</c:v>
                </c:pt>
                <c:pt idx="27">
                  <c:v>28.5</c:v>
                </c:pt>
                <c:pt idx="28">
                  <c:v>29</c:v>
                </c:pt>
                <c:pt idx="29">
                  <c:v>29.5</c:v>
                </c:pt>
                <c:pt idx="30">
                  <c:v>30</c:v>
                </c:pt>
                <c:pt idx="31">
                  <c:v>30.5</c:v>
                </c:pt>
                <c:pt idx="32">
                  <c:v>31</c:v>
                </c:pt>
                <c:pt idx="33">
                  <c:v>31.5</c:v>
                </c:pt>
                <c:pt idx="34">
                  <c:v>32</c:v>
                </c:pt>
                <c:pt idx="35">
                  <c:v>32.5</c:v>
                </c:pt>
                <c:pt idx="36">
                  <c:v>33</c:v>
                </c:pt>
                <c:pt idx="37">
                  <c:v>33.5</c:v>
                </c:pt>
                <c:pt idx="38">
                  <c:v>34</c:v>
                </c:pt>
                <c:pt idx="39">
                  <c:v>34.5</c:v>
                </c:pt>
                <c:pt idx="40">
                  <c:v>35</c:v>
                </c:pt>
                <c:pt idx="41">
                  <c:v>35.5</c:v>
                </c:pt>
                <c:pt idx="42">
                  <c:v>36</c:v>
                </c:pt>
              </c:numCache>
            </c:numRef>
          </c:cat>
          <c:val>
            <c:numRef>
              <c:f>'SI#1-Sep16 (TS)'!$P$93:$P$135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8</c:v>
                </c:pt>
                <c:pt idx="16">
                  <c:v>53</c:v>
                </c:pt>
                <c:pt idx="17">
                  <c:v>104</c:v>
                </c:pt>
                <c:pt idx="18">
                  <c:v>236</c:v>
                </c:pt>
                <c:pt idx="19">
                  <c:v>312</c:v>
                </c:pt>
                <c:pt idx="20">
                  <c:v>530</c:v>
                </c:pt>
                <c:pt idx="21">
                  <c:v>532</c:v>
                </c:pt>
                <c:pt idx="22">
                  <c:v>695</c:v>
                </c:pt>
                <c:pt idx="23">
                  <c:v>501</c:v>
                </c:pt>
                <c:pt idx="24">
                  <c:v>503</c:v>
                </c:pt>
                <c:pt idx="25">
                  <c:v>286</c:v>
                </c:pt>
                <c:pt idx="26">
                  <c:v>213</c:v>
                </c:pt>
                <c:pt idx="27">
                  <c:v>102</c:v>
                </c:pt>
                <c:pt idx="28">
                  <c:v>85</c:v>
                </c:pt>
                <c:pt idx="29">
                  <c:v>58</c:v>
                </c:pt>
                <c:pt idx="30">
                  <c:v>38</c:v>
                </c:pt>
                <c:pt idx="31">
                  <c:v>18</c:v>
                </c:pt>
                <c:pt idx="32">
                  <c:v>12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0E-4063-B390-89C108564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8966272"/>
        <c:axId val="94257920"/>
      </c:barChart>
      <c:catAx>
        <c:axId val="489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Total Length (cm)</a:t>
                </a:r>
              </a:p>
            </c:rich>
          </c:tx>
          <c:layout>
            <c:manualLayout>
              <c:xMode val="edge"/>
              <c:yMode val="edge"/>
              <c:x val="0.47129909365558914"/>
              <c:y val="0.928726608957897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5792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94257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Catch weighted numbers</a:t>
                </a:r>
              </a:p>
            </c:rich>
          </c:tx>
          <c:layout>
            <c:manualLayout>
              <c:xMode val="edge"/>
              <c:yMode val="edge"/>
              <c:x val="9.5639402540745756E-3"/>
              <c:y val="0.185019300265340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662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4458650857324"/>
          <c:y val="4.6242839825178128E-2"/>
          <c:w val="0.86295244181249542"/>
          <c:h val="0.7745675670717336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wer"/>
            <c:dispRSqr val="1"/>
            <c:dispEq val="1"/>
            <c:trendlineLbl>
              <c:layout>
                <c:manualLayout>
                  <c:x val="-0.52363159868174369"/>
                  <c:y val="1.7358585336307634E-2"/>
                </c:manualLayout>
              </c:layout>
              <c:numFmt formatCode="General" sourceLinked="0"/>
              <c:spPr>
                <a:solidFill>
                  <a:srgbClr val="FFFFFF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'SI#1-Sep16 (TS)'!$I$4:$I$142</c:f>
              <c:numCache>
                <c:formatCode>General</c:formatCode>
                <c:ptCount val="139"/>
                <c:pt idx="0">
                  <c:v>253</c:v>
                </c:pt>
                <c:pt idx="1">
                  <c:v>268</c:v>
                </c:pt>
                <c:pt idx="2">
                  <c:v>247</c:v>
                </c:pt>
                <c:pt idx="3">
                  <c:v>247</c:v>
                </c:pt>
                <c:pt idx="4">
                  <c:v>235</c:v>
                </c:pt>
                <c:pt idx="5">
                  <c:v>242</c:v>
                </c:pt>
                <c:pt idx="6">
                  <c:v>255</c:v>
                </c:pt>
                <c:pt idx="7">
                  <c:v>251</c:v>
                </c:pt>
                <c:pt idx="8">
                  <c:v>258</c:v>
                </c:pt>
                <c:pt idx="9">
                  <c:v>260</c:v>
                </c:pt>
                <c:pt idx="10">
                  <c:v>268</c:v>
                </c:pt>
                <c:pt idx="11">
                  <c:v>260</c:v>
                </c:pt>
                <c:pt idx="12">
                  <c:v>276</c:v>
                </c:pt>
                <c:pt idx="13">
                  <c:v>275</c:v>
                </c:pt>
                <c:pt idx="14">
                  <c:v>272</c:v>
                </c:pt>
                <c:pt idx="15">
                  <c:v>225</c:v>
                </c:pt>
                <c:pt idx="16">
                  <c:v>232</c:v>
                </c:pt>
                <c:pt idx="17">
                  <c:v>271</c:v>
                </c:pt>
                <c:pt idx="18">
                  <c:v>281</c:v>
                </c:pt>
                <c:pt idx="19">
                  <c:v>285</c:v>
                </c:pt>
                <c:pt idx="20">
                  <c:v>229</c:v>
                </c:pt>
                <c:pt idx="21">
                  <c:v>241</c:v>
                </c:pt>
                <c:pt idx="22">
                  <c:v>247</c:v>
                </c:pt>
                <c:pt idx="23">
                  <c:v>238</c:v>
                </c:pt>
                <c:pt idx="24">
                  <c:v>248</c:v>
                </c:pt>
                <c:pt idx="25">
                  <c:v>266</c:v>
                </c:pt>
                <c:pt idx="26">
                  <c:v>253</c:v>
                </c:pt>
                <c:pt idx="27">
                  <c:v>259</c:v>
                </c:pt>
                <c:pt idx="28">
                  <c:v>254</c:v>
                </c:pt>
                <c:pt idx="29">
                  <c:v>257</c:v>
                </c:pt>
                <c:pt idx="30">
                  <c:v>266</c:v>
                </c:pt>
                <c:pt idx="31">
                  <c:v>262</c:v>
                </c:pt>
                <c:pt idx="32">
                  <c:v>263</c:v>
                </c:pt>
                <c:pt idx="33">
                  <c:v>276</c:v>
                </c:pt>
                <c:pt idx="34">
                  <c:v>292</c:v>
                </c:pt>
                <c:pt idx="35">
                  <c:v>277</c:v>
                </c:pt>
                <c:pt idx="36">
                  <c:v>273</c:v>
                </c:pt>
                <c:pt idx="37">
                  <c:v>281</c:v>
                </c:pt>
                <c:pt idx="38">
                  <c:v>286</c:v>
                </c:pt>
                <c:pt idx="39">
                  <c:v>274</c:v>
                </c:pt>
                <c:pt idx="40">
                  <c:v>234</c:v>
                </c:pt>
                <c:pt idx="41">
                  <c:v>239</c:v>
                </c:pt>
                <c:pt idx="42">
                  <c:v>243</c:v>
                </c:pt>
                <c:pt idx="43">
                  <c:v>247</c:v>
                </c:pt>
                <c:pt idx="44">
                  <c:v>253</c:v>
                </c:pt>
                <c:pt idx="45">
                  <c:v>248</c:v>
                </c:pt>
                <c:pt idx="46">
                  <c:v>254</c:v>
                </c:pt>
                <c:pt idx="47">
                  <c:v>256</c:v>
                </c:pt>
                <c:pt idx="48">
                  <c:v>266</c:v>
                </c:pt>
                <c:pt idx="49">
                  <c:v>259</c:v>
                </c:pt>
                <c:pt idx="50">
                  <c:v>274</c:v>
                </c:pt>
                <c:pt idx="51">
                  <c:v>262</c:v>
                </c:pt>
                <c:pt idx="52">
                  <c:v>273</c:v>
                </c:pt>
                <c:pt idx="53">
                  <c:v>262</c:v>
                </c:pt>
                <c:pt idx="54">
                  <c:v>297</c:v>
                </c:pt>
                <c:pt idx="55">
                  <c:v>266</c:v>
                </c:pt>
                <c:pt idx="56">
                  <c:v>271</c:v>
                </c:pt>
                <c:pt idx="57">
                  <c:v>281</c:v>
                </c:pt>
                <c:pt idx="58">
                  <c:v>288</c:v>
                </c:pt>
                <c:pt idx="59">
                  <c:v>283</c:v>
                </c:pt>
                <c:pt idx="60">
                  <c:v>263</c:v>
                </c:pt>
                <c:pt idx="61">
                  <c:v>260</c:v>
                </c:pt>
                <c:pt idx="62">
                  <c:v>258</c:v>
                </c:pt>
                <c:pt idx="63">
                  <c:v>257</c:v>
                </c:pt>
                <c:pt idx="64">
                  <c:v>266</c:v>
                </c:pt>
                <c:pt idx="65">
                  <c:v>263</c:v>
                </c:pt>
                <c:pt idx="66">
                  <c:v>256</c:v>
                </c:pt>
                <c:pt idx="67">
                  <c:v>258</c:v>
                </c:pt>
                <c:pt idx="68">
                  <c:v>253</c:v>
                </c:pt>
                <c:pt idx="69">
                  <c:v>261</c:v>
                </c:pt>
                <c:pt idx="70">
                  <c:v>267</c:v>
                </c:pt>
                <c:pt idx="71">
                  <c:v>248</c:v>
                </c:pt>
                <c:pt idx="72">
                  <c:v>270</c:v>
                </c:pt>
                <c:pt idx="73">
                  <c:v>251</c:v>
                </c:pt>
                <c:pt idx="74">
                  <c:v>268</c:v>
                </c:pt>
                <c:pt idx="75">
                  <c:v>261</c:v>
                </c:pt>
                <c:pt idx="76">
                  <c:v>260</c:v>
                </c:pt>
                <c:pt idx="77">
                  <c:v>257</c:v>
                </c:pt>
                <c:pt idx="78">
                  <c:v>269</c:v>
                </c:pt>
                <c:pt idx="79">
                  <c:v>260</c:v>
                </c:pt>
                <c:pt idx="80">
                  <c:v>245</c:v>
                </c:pt>
                <c:pt idx="81">
                  <c:v>238</c:v>
                </c:pt>
                <c:pt idx="82">
                  <c:v>246</c:v>
                </c:pt>
                <c:pt idx="83">
                  <c:v>250</c:v>
                </c:pt>
                <c:pt idx="84">
                  <c:v>243</c:v>
                </c:pt>
                <c:pt idx="85">
                  <c:v>247</c:v>
                </c:pt>
                <c:pt idx="86">
                  <c:v>254</c:v>
                </c:pt>
                <c:pt idx="87">
                  <c:v>253</c:v>
                </c:pt>
                <c:pt idx="88">
                  <c:v>256</c:v>
                </c:pt>
                <c:pt idx="89">
                  <c:v>257</c:v>
                </c:pt>
                <c:pt idx="90">
                  <c:v>254</c:v>
                </c:pt>
                <c:pt idx="91">
                  <c:v>213</c:v>
                </c:pt>
                <c:pt idx="92">
                  <c:v>223</c:v>
                </c:pt>
                <c:pt idx="93">
                  <c:v>247</c:v>
                </c:pt>
                <c:pt idx="94">
                  <c:v>233</c:v>
                </c:pt>
                <c:pt idx="95">
                  <c:v>243</c:v>
                </c:pt>
                <c:pt idx="96">
                  <c:v>252</c:v>
                </c:pt>
                <c:pt idx="97">
                  <c:v>238</c:v>
                </c:pt>
                <c:pt idx="98">
                  <c:v>251</c:v>
                </c:pt>
                <c:pt idx="99">
                  <c:v>245</c:v>
                </c:pt>
                <c:pt idx="100">
                  <c:v>257</c:v>
                </c:pt>
                <c:pt idx="101">
                  <c:v>261</c:v>
                </c:pt>
                <c:pt idx="102">
                  <c:v>257</c:v>
                </c:pt>
                <c:pt idx="103">
                  <c:v>281</c:v>
                </c:pt>
                <c:pt idx="104">
                  <c:v>274</c:v>
                </c:pt>
                <c:pt idx="105">
                  <c:v>274</c:v>
                </c:pt>
                <c:pt idx="106">
                  <c:v>264</c:v>
                </c:pt>
                <c:pt idx="107">
                  <c:v>267</c:v>
                </c:pt>
                <c:pt idx="108">
                  <c:v>286</c:v>
                </c:pt>
                <c:pt idx="109">
                  <c:v>276</c:v>
                </c:pt>
                <c:pt idx="110">
                  <c:v>229</c:v>
                </c:pt>
                <c:pt idx="111">
                  <c:v>269</c:v>
                </c:pt>
                <c:pt idx="112">
                  <c:v>217</c:v>
                </c:pt>
                <c:pt idx="113">
                  <c:v>265</c:v>
                </c:pt>
                <c:pt idx="114">
                  <c:v>271</c:v>
                </c:pt>
                <c:pt idx="115">
                  <c:v>225</c:v>
                </c:pt>
                <c:pt idx="116">
                  <c:v>230</c:v>
                </c:pt>
                <c:pt idx="117">
                  <c:v>239</c:v>
                </c:pt>
                <c:pt idx="118">
                  <c:v>243</c:v>
                </c:pt>
                <c:pt idx="119">
                  <c:v>239</c:v>
                </c:pt>
                <c:pt idx="120">
                  <c:v>246</c:v>
                </c:pt>
                <c:pt idx="121">
                  <c:v>247</c:v>
                </c:pt>
                <c:pt idx="122">
                  <c:v>250</c:v>
                </c:pt>
                <c:pt idx="123">
                  <c:v>254</c:v>
                </c:pt>
                <c:pt idx="124">
                  <c:v>256</c:v>
                </c:pt>
                <c:pt idx="125">
                  <c:v>266</c:v>
                </c:pt>
                <c:pt idx="126">
                  <c:v>258</c:v>
                </c:pt>
                <c:pt idx="127">
                  <c:v>267</c:v>
                </c:pt>
                <c:pt idx="128">
                  <c:v>271</c:v>
                </c:pt>
                <c:pt idx="129">
                  <c:v>270</c:v>
                </c:pt>
                <c:pt idx="130">
                  <c:v>265</c:v>
                </c:pt>
                <c:pt idx="131">
                  <c:v>277</c:v>
                </c:pt>
                <c:pt idx="132">
                  <c:v>298</c:v>
                </c:pt>
                <c:pt idx="133">
                  <c:v>286</c:v>
                </c:pt>
                <c:pt idx="134">
                  <c:v>279</c:v>
                </c:pt>
                <c:pt idx="135">
                  <c:v>280</c:v>
                </c:pt>
                <c:pt idx="136">
                  <c:v>286</c:v>
                </c:pt>
                <c:pt idx="137">
                  <c:v>290</c:v>
                </c:pt>
                <c:pt idx="138">
                  <c:v>297</c:v>
                </c:pt>
              </c:numCache>
            </c:numRef>
          </c:xVal>
          <c:yVal>
            <c:numRef>
              <c:f>'SI#1-Sep16 (TS)'!$H$4:$H$142</c:f>
              <c:numCache>
                <c:formatCode>General</c:formatCode>
                <c:ptCount val="139"/>
                <c:pt idx="0">
                  <c:v>124.5</c:v>
                </c:pt>
                <c:pt idx="1">
                  <c:v>164.2</c:v>
                </c:pt>
                <c:pt idx="2">
                  <c:v>132.4</c:v>
                </c:pt>
                <c:pt idx="3">
                  <c:v>102.4</c:v>
                </c:pt>
                <c:pt idx="4">
                  <c:v>92.7</c:v>
                </c:pt>
                <c:pt idx="5">
                  <c:v>122</c:v>
                </c:pt>
                <c:pt idx="6">
                  <c:v>134.30000000000001</c:v>
                </c:pt>
                <c:pt idx="7">
                  <c:v>123.9</c:v>
                </c:pt>
                <c:pt idx="8">
                  <c:v>128.80000000000001</c:v>
                </c:pt>
                <c:pt idx="9">
                  <c:v>144.1</c:v>
                </c:pt>
                <c:pt idx="10">
                  <c:v>167</c:v>
                </c:pt>
                <c:pt idx="11">
                  <c:v>145</c:v>
                </c:pt>
                <c:pt idx="12">
                  <c:v>135.19999999999999</c:v>
                </c:pt>
                <c:pt idx="13">
                  <c:v>157.69999999999999</c:v>
                </c:pt>
                <c:pt idx="14">
                  <c:v>133.6</c:v>
                </c:pt>
                <c:pt idx="15">
                  <c:v>89.5</c:v>
                </c:pt>
                <c:pt idx="16">
                  <c:v>93.9</c:v>
                </c:pt>
                <c:pt idx="17">
                  <c:v>161</c:v>
                </c:pt>
                <c:pt idx="18">
                  <c:v>185.6</c:v>
                </c:pt>
                <c:pt idx="19">
                  <c:v>172.8</c:v>
                </c:pt>
                <c:pt idx="20">
                  <c:v>91.9</c:v>
                </c:pt>
                <c:pt idx="21">
                  <c:v>104.3</c:v>
                </c:pt>
                <c:pt idx="22">
                  <c:v>104.2</c:v>
                </c:pt>
                <c:pt idx="23">
                  <c:v>113.8</c:v>
                </c:pt>
                <c:pt idx="24">
                  <c:v>106.4</c:v>
                </c:pt>
                <c:pt idx="25">
                  <c:v>164.5</c:v>
                </c:pt>
                <c:pt idx="26">
                  <c:v>130.1</c:v>
                </c:pt>
                <c:pt idx="27">
                  <c:v>152.5</c:v>
                </c:pt>
                <c:pt idx="28">
                  <c:v>140.30000000000001</c:v>
                </c:pt>
                <c:pt idx="29">
                  <c:v>135.5</c:v>
                </c:pt>
                <c:pt idx="30">
                  <c:v>156.5</c:v>
                </c:pt>
                <c:pt idx="31">
                  <c:v>141.69999999999999</c:v>
                </c:pt>
                <c:pt idx="32">
                  <c:v>144.80000000000001</c:v>
                </c:pt>
                <c:pt idx="33">
                  <c:v>172.1</c:v>
                </c:pt>
                <c:pt idx="34">
                  <c:v>196.5</c:v>
                </c:pt>
                <c:pt idx="35">
                  <c:v>161.19999999999999</c:v>
                </c:pt>
                <c:pt idx="36">
                  <c:v>156.30000000000001</c:v>
                </c:pt>
                <c:pt idx="37">
                  <c:v>185.5</c:v>
                </c:pt>
                <c:pt idx="38">
                  <c:v>185.7</c:v>
                </c:pt>
                <c:pt idx="39">
                  <c:v>159.4</c:v>
                </c:pt>
                <c:pt idx="40">
                  <c:v>97.6</c:v>
                </c:pt>
                <c:pt idx="41">
                  <c:v>104.6</c:v>
                </c:pt>
                <c:pt idx="42">
                  <c:v>117.4</c:v>
                </c:pt>
                <c:pt idx="43">
                  <c:v>118</c:v>
                </c:pt>
                <c:pt idx="44">
                  <c:v>125.5</c:v>
                </c:pt>
                <c:pt idx="45">
                  <c:v>120.8</c:v>
                </c:pt>
                <c:pt idx="46">
                  <c:v>128.1</c:v>
                </c:pt>
                <c:pt idx="47">
                  <c:v>132.6</c:v>
                </c:pt>
                <c:pt idx="48">
                  <c:v>176</c:v>
                </c:pt>
                <c:pt idx="49">
                  <c:v>134.80000000000001</c:v>
                </c:pt>
                <c:pt idx="50">
                  <c:v>165</c:v>
                </c:pt>
                <c:pt idx="51">
                  <c:v>151.1</c:v>
                </c:pt>
                <c:pt idx="52">
                  <c:v>157.69999999999999</c:v>
                </c:pt>
                <c:pt idx="53">
                  <c:v>144</c:v>
                </c:pt>
                <c:pt idx="54">
                  <c:v>209</c:v>
                </c:pt>
                <c:pt idx="55">
                  <c:v>157.80000000000001</c:v>
                </c:pt>
                <c:pt idx="56">
                  <c:v>159.80000000000001</c:v>
                </c:pt>
                <c:pt idx="57">
                  <c:v>172.4</c:v>
                </c:pt>
                <c:pt idx="58">
                  <c:v>200.1</c:v>
                </c:pt>
                <c:pt idx="59">
                  <c:v>193.9</c:v>
                </c:pt>
                <c:pt idx="60">
                  <c:v>159.19999999999999</c:v>
                </c:pt>
                <c:pt idx="61">
                  <c:v>149.69999999999999</c:v>
                </c:pt>
                <c:pt idx="62">
                  <c:v>139.6</c:v>
                </c:pt>
                <c:pt idx="63">
                  <c:v>135.19999999999999</c:v>
                </c:pt>
                <c:pt idx="64">
                  <c:v>142.80000000000001</c:v>
                </c:pt>
                <c:pt idx="65">
                  <c:v>146.69999999999999</c:v>
                </c:pt>
                <c:pt idx="66">
                  <c:v>150.30000000000001</c:v>
                </c:pt>
                <c:pt idx="67">
                  <c:v>141.80000000000001</c:v>
                </c:pt>
                <c:pt idx="68">
                  <c:v>136.6</c:v>
                </c:pt>
                <c:pt idx="69">
                  <c:v>157.69999999999999</c:v>
                </c:pt>
                <c:pt idx="70">
                  <c:v>161.1</c:v>
                </c:pt>
                <c:pt idx="71">
                  <c:v>120.5</c:v>
                </c:pt>
                <c:pt idx="72">
                  <c:v>142.19999999999999</c:v>
                </c:pt>
                <c:pt idx="73">
                  <c:v>136.6</c:v>
                </c:pt>
                <c:pt idx="74">
                  <c:v>166.3</c:v>
                </c:pt>
                <c:pt idx="75">
                  <c:v>158</c:v>
                </c:pt>
                <c:pt idx="76">
                  <c:v>147.80000000000001</c:v>
                </c:pt>
                <c:pt idx="77">
                  <c:v>156.19999999999999</c:v>
                </c:pt>
                <c:pt idx="78">
                  <c:v>154.9</c:v>
                </c:pt>
                <c:pt idx="79">
                  <c:v>137.19999999999999</c:v>
                </c:pt>
                <c:pt idx="80">
                  <c:v>118.8</c:v>
                </c:pt>
                <c:pt idx="81">
                  <c:v>100.5</c:v>
                </c:pt>
                <c:pt idx="82">
                  <c:v>131.30000000000001</c:v>
                </c:pt>
                <c:pt idx="83">
                  <c:v>132.9</c:v>
                </c:pt>
                <c:pt idx="84">
                  <c:v>122.6</c:v>
                </c:pt>
                <c:pt idx="85">
                  <c:v>138.5</c:v>
                </c:pt>
                <c:pt idx="86">
                  <c:v>138.9</c:v>
                </c:pt>
                <c:pt idx="87">
                  <c:v>140.80000000000001</c:v>
                </c:pt>
                <c:pt idx="88">
                  <c:v>141.80000000000001</c:v>
                </c:pt>
                <c:pt idx="89">
                  <c:v>135.30000000000001</c:v>
                </c:pt>
                <c:pt idx="90">
                  <c:v>141.9</c:v>
                </c:pt>
                <c:pt idx="91">
                  <c:v>77.8</c:v>
                </c:pt>
                <c:pt idx="92">
                  <c:v>86.3</c:v>
                </c:pt>
                <c:pt idx="93">
                  <c:v>124.6</c:v>
                </c:pt>
                <c:pt idx="94">
                  <c:v>103.6</c:v>
                </c:pt>
                <c:pt idx="95">
                  <c:v>103.8</c:v>
                </c:pt>
                <c:pt idx="96">
                  <c:v>122</c:v>
                </c:pt>
                <c:pt idx="97">
                  <c:v>105.4</c:v>
                </c:pt>
                <c:pt idx="98">
                  <c:v>134.19999999999999</c:v>
                </c:pt>
                <c:pt idx="99">
                  <c:v>122.1</c:v>
                </c:pt>
                <c:pt idx="100">
                  <c:v>146.4</c:v>
                </c:pt>
                <c:pt idx="101">
                  <c:v>131.69999999999999</c:v>
                </c:pt>
                <c:pt idx="102">
                  <c:v>147.69999999999999</c:v>
                </c:pt>
                <c:pt idx="103">
                  <c:v>184.8</c:v>
                </c:pt>
                <c:pt idx="104">
                  <c:v>149.1</c:v>
                </c:pt>
                <c:pt idx="105">
                  <c:v>168.1</c:v>
                </c:pt>
                <c:pt idx="106">
                  <c:v>152.19999999999999</c:v>
                </c:pt>
                <c:pt idx="107">
                  <c:v>160.1</c:v>
                </c:pt>
                <c:pt idx="108">
                  <c:v>176.2</c:v>
                </c:pt>
                <c:pt idx="109">
                  <c:v>172.3</c:v>
                </c:pt>
                <c:pt idx="110">
                  <c:v>91.2</c:v>
                </c:pt>
                <c:pt idx="111">
                  <c:v>162.1</c:v>
                </c:pt>
                <c:pt idx="112">
                  <c:v>75.599999999999994</c:v>
                </c:pt>
                <c:pt idx="113">
                  <c:v>142.19999999999999</c:v>
                </c:pt>
                <c:pt idx="114">
                  <c:v>141.30000000000001</c:v>
                </c:pt>
                <c:pt idx="115">
                  <c:v>97</c:v>
                </c:pt>
                <c:pt idx="116">
                  <c:v>83.9</c:v>
                </c:pt>
                <c:pt idx="117">
                  <c:v>94.9</c:v>
                </c:pt>
                <c:pt idx="118">
                  <c:v>103</c:v>
                </c:pt>
                <c:pt idx="119">
                  <c:v>110.8</c:v>
                </c:pt>
                <c:pt idx="120">
                  <c:v>122.2</c:v>
                </c:pt>
                <c:pt idx="121">
                  <c:v>118</c:v>
                </c:pt>
                <c:pt idx="122">
                  <c:v>107.2</c:v>
                </c:pt>
                <c:pt idx="123">
                  <c:v>116.3</c:v>
                </c:pt>
                <c:pt idx="124">
                  <c:v>132.30000000000001</c:v>
                </c:pt>
                <c:pt idx="125">
                  <c:v>173.8</c:v>
                </c:pt>
                <c:pt idx="126">
                  <c:v>146.5</c:v>
                </c:pt>
                <c:pt idx="127">
                  <c:v>164.5</c:v>
                </c:pt>
                <c:pt idx="128">
                  <c:v>149.19999999999999</c:v>
                </c:pt>
                <c:pt idx="129">
                  <c:v>154.5</c:v>
                </c:pt>
                <c:pt idx="130">
                  <c:v>144.69999999999999</c:v>
                </c:pt>
                <c:pt idx="131">
                  <c:v>168.4</c:v>
                </c:pt>
                <c:pt idx="132">
                  <c:v>198.8</c:v>
                </c:pt>
                <c:pt idx="133">
                  <c:v>205.6</c:v>
                </c:pt>
                <c:pt idx="134">
                  <c:v>180.8</c:v>
                </c:pt>
                <c:pt idx="135">
                  <c:v>172.3</c:v>
                </c:pt>
                <c:pt idx="136">
                  <c:v>187.6</c:v>
                </c:pt>
                <c:pt idx="137">
                  <c:v>191.9</c:v>
                </c:pt>
                <c:pt idx="138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2-4D12-B4E0-047CE88E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4736"/>
        <c:axId val="100385536"/>
      </c:scatterChart>
      <c:valAx>
        <c:axId val="97044736"/>
        <c:scaling>
          <c:orientation val="minMax"/>
          <c:max val="32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Length (mm)</a:t>
                </a:r>
              </a:p>
            </c:rich>
          </c:tx>
          <c:layout>
            <c:manualLayout>
              <c:xMode val="edge"/>
              <c:yMode val="edge"/>
              <c:x val="0.45030152104480914"/>
              <c:y val="0.904625491177764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85536"/>
        <c:crosses val="autoZero"/>
        <c:crossBetween val="midCat"/>
      </c:valAx>
      <c:valAx>
        <c:axId val="100385536"/>
        <c:scaling>
          <c:orientation val="minMax"/>
          <c:max val="275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Weight (g)</a:t>
                </a:r>
              </a:p>
            </c:rich>
          </c:tx>
          <c:layout>
            <c:manualLayout>
              <c:xMode val="edge"/>
              <c:yMode val="edge"/>
              <c:x val="1.8072289156626505E-2"/>
              <c:y val="0.315029205164383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0447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DETAIL Sep 12 - Sep 19- 5 samples -  (log vs log linear regression)</a:t>
            </a:r>
          </a:p>
        </c:rich>
      </c:tx>
      <c:layout>
        <c:manualLayout>
          <c:xMode val="edge"/>
          <c:yMode val="edge"/>
          <c:x val="0.15615631379410908"/>
          <c:y val="3.8674033149171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6338295822623"/>
          <c:y val="0.143646408839779"/>
          <c:w val="0.81381500711894583"/>
          <c:h val="0.6574585635359115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5096766577341248"/>
                  <c:y val="-6.9557582280632187E-3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'SI#1-Sep16 (TS)'!$J$4:$J$142</c:f>
              <c:numCache>
                <c:formatCode>0.00000</c:formatCode>
                <c:ptCount val="139"/>
                <c:pt idx="0">
                  <c:v>2.4117206929377355</c:v>
                </c:pt>
                <c:pt idx="1">
                  <c:v>2.4367349657907065</c:v>
                </c:pt>
                <c:pt idx="2">
                  <c:v>2.4012971250215833</c:v>
                </c:pt>
                <c:pt idx="3">
                  <c:v>2.4012971250215833</c:v>
                </c:pt>
                <c:pt idx="4">
                  <c:v>2.3796680340336538</c:v>
                </c:pt>
                <c:pt idx="5">
                  <c:v>2.3924155377423491</c:v>
                </c:pt>
                <c:pt idx="6">
                  <c:v>2.415140352195873</c:v>
                </c:pt>
                <c:pt idx="7">
                  <c:v>2.4082738932429555</c:v>
                </c:pt>
                <c:pt idx="8">
                  <c:v>2.4202198777251476</c:v>
                </c:pt>
                <c:pt idx="9">
                  <c:v>2.4235735197327357</c:v>
                </c:pt>
                <c:pt idx="10">
                  <c:v>2.4367349657907065</c:v>
                </c:pt>
                <c:pt idx="11">
                  <c:v>2.4235735197327357</c:v>
                </c:pt>
                <c:pt idx="12">
                  <c:v>2.4495092538271352</c:v>
                </c:pt>
                <c:pt idx="13">
                  <c:v>2.4479328655921804</c:v>
                </c:pt>
                <c:pt idx="14">
                  <c:v>2.4431690757961162</c:v>
                </c:pt>
                <c:pt idx="15">
                  <c:v>2.3607826898732802</c:v>
                </c:pt>
                <c:pt idx="16">
                  <c:v>2.3740881566528174</c:v>
                </c:pt>
                <c:pt idx="17">
                  <c:v>2.4415694626363234</c:v>
                </c:pt>
                <c:pt idx="18">
                  <c:v>2.4573064916669973</c:v>
                </c:pt>
                <c:pt idx="19">
                  <c:v>2.4634450317704277</c:v>
                </c:pt>
                <c:pt idx="20">
                  <c:v>2.3684356541018055</c:v>
                </c:pt>
                <c:pt idx="21">
                  <c:v>2.3906172143367859</c:v>
                </c:pt>
                <c:pt idx="22">
                  <c:v>2.4012971250215833</c:v>
                </c:pt>
                <c:pt idx="23">
                  <c:v>2.3851771288184294</c:v>
                </c:pt>
                <c:pt idx="24">
                  <c:v>2.4030518525881339</c:v>
                </c:pt>
                <c:pt idx="25">
                  <c:v>2.4334818083929846</c:v>
                </c:pt>
                <c:pt idx="26">
                  <c:v>2.4117206929377355</c:v>
                </c:pt>
                <c:pt idx="27">
                  <c:v>2.4218999358431694</c:v>
                </c:pt>
                <c:pt idx="28">
                  <c:v>2.4134338883818556</c:v>
                </c:pt>
                <c:pt idx="29">
                  <c:v>2.4185332950932121</c:v>
                </c:pt>
                <c:pt idx="30">
                  <c:v>2.4334818083929846</c:v>
                </c:pt>
                <c:pt idx="31">
                  <c:v>2.4269014630816632</c:v>
                </c:pt>
                <c:pt idx="32">
                  <c:v>2.4285559202516755</c:v>
                </c:pt>
                <c:pt idx="33">
                  <c:v>2.4495092538271352</c:v>
                </c:pt>
                <c:pt idx="34">
                  <c:v>2.4739830232103359</c:v>
                </c:pt>
                <c:pt idx="35">
                  <c:v>2.4510799408263662</c:v>
                </c:pt>
                <c:pt idx="36">
                  <c:v>2.4447628188026735</c:v>
                </c:pt>
                <c:pt idx="37">
                  <c:v>2.4573064916669973</c:v>
                </c:pt>
                <c:pt idx="38">
                  <c:v>2.4649662048909606</c:v>
                </c:pt>
                <c:pt idx="39">
                  <c:v>2.4463507345823055</c:v>
                </c:pt>
                <c:pt idx="40">
                  <c:v>2.3778160291720605</c:v>
                </c:pt>
                <c:pt idx="41">
                  <c:v>2.386998072710055</c:v>
                </c:pt>
                <c:pt idx="42">
                  <c:v>2.3942064453602296</c:v>
                </c:pt>
                <c:pt idx="43">
                  <c:v>2.4012971250215833</c:v>
                </c:pt>
                <c:pt idx="44">
                  <c:v>2.4117206929377355</c:v>
                </c:pt>
                <c:pt idx="45">
                  <c:v>2.4030518525881339</c:v>
                </c:pt>
                <c:pt idx="46">
                  <c:v>2.4134338883818556</c:v>
                </c:pt>
                <c:pt idx="47">
                  <c:v>2.4168401370737671</c:v>
                </c:pt>
                <c:pt idx="48">
                  <c:v>2.4334818083929846</c:v>
                </c:pt>
                <c:pt idx="49">
                  <c:v>2.4218999358431694</c:v>
                </c:pt>
                <c:pt idx="50">
                  <c:v>2.4463507345823055</c:v>
                </c:pt>
                <c:pt idx="51">
                  <c:v>2.4269014630816632</c:v>
                </c:pt>
                <c:pt idx="52">
                  <c:v>2.4447628188026735</c:v>
                </c:pt>
                <c:pt idx="53">
                  <c:v>2.4269014630816632</c:v>
                </c:pt>
                <c:pt idx="54">
                  <c:v>2.4813566210791298</c:v>
                </c:pt>
                <c:pt idx="55">
                  <c:v>2.4334818083929846</c:v>
                </c:pt>
                <c:pt idx="56">
                  <c:v>2.4415694626363234</c:v>
                </c:pt>
                <c:pt idx="57">
                  <c:v>2.4573064916669973</c:v>
                </c:pt>
                <c:pt idx="58">
                  <c:v>2.4679926595211485</c:v>
                </c:pt>
                <c:pt idx="59">
                  <c:v>2.4603866072862077</c:v>
                </c:pt>
                <c:pt idx="60">
                  <c:v>2.4285559202516755</c:v>
                </c:pt>
                <c:pt idx="61">
                  <c:v>2.4235735197327357</c:v>
                </c:pt>
                <c:pt idx="62">
                  <c:v>2.4202198777251476</c:v>
                </c:pt>
                <c:pt idx="63">
                  <c:v>2.4185332950932121</c:v>
                </c:pt>
                <c:pt idx="64">
                  <c:v>2.4334818083929846</c:v>
                </c:pt>
                <c:pt idx="65">
                  <c:v>2.4285559202516755</c:v>
                </c:pt>
                <c:pt idx="66">
                  <c:v>2.4168401370737671</c:v>
                </c:pt>
                <c:pt idx="67">
                  <c:v>2.4202198777251476</c:v>
                </c:pt>
                <c:pt idx="68">
                  <c:v>2.4117206929377355</c:v>
                </c:pt>
                <c:pt idx="69">
                  <c:v>2.4252406791001984</c:v>
                </c:pt>
                <c:pt idx="70">
                  <c:v>2.4351114331264929</c:v>
                </c:pt>
                <c:pt idx="71">
                  <c:v>2.4030518525881339</c:v>
                </c:pt>
                <c:pt idx="72">
                  <c:v>2.4399639359209049</c:v>
                </c:pt>
                <c:pt idx="73">
                  <c:v>2.4082738932429555</c:v>
                </c:pt>
                <c:pt idx="74">
                  <c:v>2.4367349657907065</c:v>
                </c:pt>
                <c:pt idx="75">
                  <c:v>2.4252406791001984</c:v>
                </c:pt>
                <c:pt idx="76">
                  <c:v>2.4235735197327357</c:v>
                </c:pt>
                <c:pt idx="77">
                  <c:v>2.4185332950932121</c:v>
                </c:pt>
                <c:pt idx="78">
                  <c:v>2.4383524517643256</c:v>
                </c:pt>
                <c:pt idx="79">
                  <c:v>2.4235735197327357</c:v>
                </c:pt>
                <c:pt idx="80">
                  <c:v>2.3977662561264501</c:v>
                </c:pt>
                <c:pt idx="81">
                  <c:v>2.3851771288184294</c:v>
                </c:pt>
                <c:pt idx="82">
                  <c:v>2.3995352788652968</c:v>
                </c:pt>
                <c:pt idx="83">
                  <c:v>2.406540180433955</c:v>
                </c:pt>
                <c:pt idx="84">
                  <c:v>2.3942064453602296</c:v>
                </c:pt>
                <c:pt idx="85">
                  <c:v>2.4012971250215833</c:v>
                </c:pt>
                <c:pt idx="86">
                  <c:v>2.4134338883818556</c:v>
                </c:pt>
                <c:pt idx="87">
                  <c:v>2.4117206929377355</c:v>
                </c:pt>
                <c:pt idx="88">
                  <c:v>2.4168401370737671</c:v>
                </c:pt>
                <c:pt idx="89">
                  <c:v>2.4185332950932121</c:v>
                </c:pt>
                <c:pt idx="90">
                  <c:v>2.4134338883818556</c:v>
                </c:pt>
                <c:pt idx="91">
                  <c:v>2.3369797752006551</c:v>
                </c:pt>
                <c:pt idx="92">
                  <c:v>2.3569050348100782</c:v>
                </c:pt>
                <c:pt idx="93">
                  <c:v>2.4012971250215833</c:v>
                </c:pt>
                <c:pt idx="94">
                  <c:v>2.3759560927879364</c:v>
                </c:pt>
                <c:pt idx="95">
                  <c:v>2.3942064453602296</c:v>
                </c:pt>
                <c:pt idx="96">
                  <c:v>2.4100007125434617</c:v>
                </c:pt>
                <c:pt idx="97">
                  <c:v>2.3851771288184294</c:v>
                </c:pt>
                <c:pt idx="98">
                  <c:v>2.4082738932429555</c:v>
                </c:pt>
                <c:pt idx="99">
                  <c:v>2.3977662561264501</c:v>
                </c:pt>
                <c:pt idx="100">
                  <c:v>2.4185332950932121</c:v>
                </c:pt>
                <c:pt idx="101">
                  <c:v>2.4252406791001984</c:v>
                </c:pt>
                <c:pt idx="102">
                  <c:v>2.4185332950932121</c:v>
                </c:pt>
                <c:pt idx="103">
                  <c:v>2.4573064916669973</c:v>
                </c:pt>
                <c:pt idx="104">
                  <c:v>2.4463507345823055</c:v>
                </c:pt>
                <c:pt idx="105">
                  <c:v>2.4463507345823055</c:v>
                </c:pt>
                <c:pt idx="106">
                  <c:v>2.4302040986317488</c:v>
                </c:pt>
                <c:pt idx="107">
                  <c:v>2.4351114331264929</c:v>
                </c:pt>
                <c:pt idx="108">
                  <c:v>2.4649662048909606</c:v>
                </c:pt>
                <c:pt idx="109">
                  <c:v>2.4495092538271352</c:v>
                </c:pt>
                <c:pt idx="110">
                  <c:v>2.3684356541018055</c:v>
                </c:pt>
                <c:pt idx="111">
                  <c:v>2.4383524517643256</c:v>
                </c:pt>
                <c:pt idx="112">
                  <c:v>2.3450599056104471</c:v>
                </c:pt>
                <c:pt idx="113">
                  <c:v>2.4318460456987254</c:v>
                </c:pt>
                <c:pt idx="114">
                  <c:v>2.4415694626363234</c:v>
                </c:pt>
                <c:pt idx="115">
                  <c:v>2.3607826898732802</c:v>
                </c:pt>
                <c:pt idx="116">
                  <c:v>2.3703280077795106</c:v>
                </c:pt>
                <c:pt idx="117">
                  <c:v>2.386998072710055</c:v>
                </c:pt>
                <c:pt idx="118">
                  <c:v>2.3942064453602296</c:v>
                </c:pt>
                <c:pt idx="119">
                  <c:v>2.386998072710055</c:v>
                </c:pt>
                <c:pt idx="120">
                  <c:v>2.3995352788652968</c:v>
                </c:pt>
                <c:pt idx="121">
                  <c:v>2.4012971250215833</c:v>
                </c:pt>
                <c:pt idx="122">
                  <c:v>2.406540180433955</c:v>
                </c:pt>
                <c:pt idx="123">
                  <c:v>2.4134338883818556</c:v>
                </c:pt>
                <c:pt idx="124">
                  <c:v>2.4168401370737671</c:v>
                </c:pt>
                <c:pt idx="125">
                  <c:v>2.4334818083929846</c:v>
                </c:pt>
                <c:pt idx="126">
                  <c:v>2.4202198777251476</c:v>
                </c:pt>
                <c:pt idx="127">
                  <c:v>2.4351114331264929</c:v>
                </c:pt>
                <c:pt idx="128">
                  <c:v>2.4415694626363234</c:v>
                </c:pt>
                <c:pt idx="129">
                  <c:v>2.4399639359209049</c:v>
                </c:pt>
                <c:pt idx="130">
                  <c:v>2.4318460456987254</c:v>
                </c:pt>
                <c:pt idx="131">
                  <c:v>2.4510799408263662</c:v>
                </c:pt>
                <c:pt idx="132">
                  <c:v>2.4828164358381728</c:v>
                </c:pt>
                <c:pt idx="133">
                  <c:v>2.4649662048909606</c:v>
                </c:pt>
                <c:pt idx="134">
                  <c:v>2.4542043750355149</c:v>
                </c:pt>
                <c:pt idx="135">
                  <c:v>2.4557582031041369</c:v>
                </c:pt>
                <c:pt idx="136">
                  <c:v>2.4649662048909606</c:v>
                </c:pt>
                <c:pt idx="137">
                  <c:v>2.4709981696608736</c:v>
                </c:pt>
                <c:pt idx="138">
                  <c:v>2.4813566210791298</c:v>
                </c:pt>
              </c:numCache>
            </c:numRef>
          </c:xVal>
          <c:yVal>
            <c:numRef>
              <c:f>'SI#1-Sep16 (TS)'!$K$4:$K$142</c:f>
              <c:numCache>
                <c:formatCode>0.00000</c:formatCode>
                <c:ptCount val="139"/>
                <c:pt idx="0">
                  <c:v>2.0951693514317551</c:v>
                </c:pt>
                <c:pt idx="1">
                  <c:v>2.215373152783422</c:v>
                </c:pt>
                <c:pt idx="2">
                  <c:v>2.1218879851036809</c:v>
                </c:pt>
                <c:pt idx="3">
                  <c:v>2.0102999566398121</c:v>
                </c:pt>
                <c:pt idx="4">
                  <c:v>1.967079734144497</c:v>
                </c:pt>
                <c:pt idx="5">
                  <c:v>2.0863598306747484</c:v>
                </c:pt>
                <c:pt idx="6">
                  <c:v>2.1280760126687155</c:v>
                </c:pt>
                <c:pt idx="7">
                  <c:v>2.0930713063760633</c:v>
                </c:pt>
                <c:pt idx="8">
                  <c:v>2.1099158630237933</c:v>
                </c:pt>
                <c:pt idx="9">
                  <c:v>2.1586639808139894</c:v>
                </c:pt>
                <c:pt idx="10">
                  <c:v>2.2227164711475833</c:v>
                </c:pt>
                <c:pt idx="11">
                  <c:v>2.1613680022349748</c:v>
                </c:pt>
                <c:pt idx="12">
                  <c:v>2.1309766916056172</c:v>
                </c:pt>
                <c:pt idx="13">
                  <c:v>2.197831693328903</c:v>
                </c:pt>
                <c:pt idx="14">
                  <c:v>2.1258064581395271</c:v>
                </c:pt>
                <c:pt idx="15">
                  <c:v>1.9518230353159121</c:v>
                </c:pt>
                <c:pt idx="16">
                  <c:v>1.9726655922661109</c:v>
                </c:pt>
                <c:pt idx="17">
                  <c:v>2.2068258760318495</c:v>
                </c:pt>
                <c:pt idx="18">
                  <c:v>2.2685779718828432</c:v>
                </c:pt>
                <c:pt idx="19">
                  <c:v>2.2375437381428744</c:v>
                </c:pt>
                <c:pt idx="20">
                  <c:v>1.9633155113861114</c:v>
                </c:pt>
                <c:pt idx="21">
                  <c:v>2.0182843084265309</c:v>
                </c:pt>
                <c:pt idx="22">
                  <c:v>2.0178677189635055</c:v>
                </c:pt>
                <c:pt idx="23">
                  <c:v>2.0561422620590522</c:v>
                </c:pt>
                <c:pt idx="24">
                  <c:v>2.0269416279590295</c:v>
                </c:pt>
                <c:pt idx="25">
                  <c:v>2.2161659022859932</c:v>
                </c:pt>
                <c:pt idx="26">
                  <c:v>2.1142772965615864</c:v>
                </c:pt>
                <c:pt idx="27">
                  <c:v>2.1832698436828046</c:v>
                </c:pt>
                <c:pt idx="28">
                  <c:v>2.1470576710283598</c:v>
                </c:pt>
                <c:pt idx="29">
                  <c:v>2.1319392952104246</c:v>
                </c:pt>
                <c:pt idx="30">
                  <c:v>2.1945143418824671</c:v>
                </c:pt>
                <c:pt idx="31">
                  <c:v>2.1513698502474603</c:v>
                </c:pt>
                <c:pt idx="32">
                  <c:v>2.1607685618611283</c:v>
                </c:pt>
                <c:pt idx="33">
                  <c:v>2.2357808703275603</c:v>
                </c:pt>
                <c:pt idx="34">
                  <c:v>2.2933625547114453</c:v>
                </c:pt>
                <c:pt idx="35">
                  <c:v>2.2073650374690716</c:v>
                </c:pt>
                <c:pt idx="36">
                  <c:v>2.1939589780191868</c:v>
                </c:pt>
                <c:pt idx="37">
                  <c:v>2.2683439139510648</c:v>
                </c:pt>
                <c:pt idx="38">
                  <c:v>2.2688119037397803</c:v>
                </c:pt>
                <c:pt idx="39">
                  <c:v>2.2024883170600935</c:v>
                </c:pt>
                <c:pt idx="40">
                  <c:v>1.9894498176666917</c:v>
                </c:pt>
                <c:pt idx="41">
                  <c:v>2.0195316845312554</c:v>
                </c:pt>
                <c:pt idx="42">
                  <c:v>2.0696680969115957</c:v>
                </c:pt>
                <c:pt idx="43">
                  <c:v>2.0718820073061255</c:v>
                </c:pt>
                <c:pt idx="44">
                  <c:v>2.0986437258170572</c:v>
                </c:pt>
                <c:pt idx="45">
                  <c:v>2.082066934285113</c:v>
                </c:pt>
                <c:pt idx="46">
                  <c:v>2.1075491297446862</c:v>
                </c:pt>
                <c:pt idx="47">
                  <c:v>2.1225435240687545</c:v>
                </c:pt>
                <c:pt idx="48">
                  <c:v>2.2455126678141499</c:v>
                </c:pt>
                <c:pt idx="49">
                  <c:v>2.129689892199301</c:v>
                </c:pt>
                <c:pt idx="50">
                  <c:v>2.2174839442139063</c:v>
                </c:pt>
                <c:pt idx="51">
                  <c:v>2.1792644643390253</c:v>
                </c:pt>
                <c:pt idx="52">
                  <c:v>2.197831693328903</c:v>
                </c:pt>
                <c:pt idx="53">
                  <c:v>2.1583624920952498</c:v>
                </c:pt>
                <c:pt idx="54">
                  <c:v>2.3201462861110542</c:v>
                </c:pt>
                <c:pt idx="55">
                  <c:v>2.1981069988734014</c:v>
                </c:pt>
                <c:pt idx="56">
                  <c:v>2.2035767749779724</c:v>
                </c:pt>
                <c:pt idx="57">
                  <c:v>2.236537261488694</c:v>
                </c:pt>
                <c:pt idx="58">
                  <c:v>2.3012470886362113</c:v>
                </c:pt>
                <c:pt idx="59">
                  <c:v>2.2875778090787056</c:v>
                </c:pt>
                <c:pt idx="60">
                  <c:v>2.2019430634016501</c:v>
                </c:pt>
                <c:pt idx="61">
                  <c:v>2.1752218003430523</c:v>
                </c:pt>
                <c:pt idx="62">
                  <c:v>2.1448854182871422</c:v>
                </c:pt>
                <c:pt idx="63">
                  <c:v>2.1309766916056172</c:v>
                </c:pt>
                <c:pt idx="64">
                  <c:v>2.1547282074401557</c:v>
                </c:pt>
                <c:pt idx="65">
                  <c:v>2.1664301138432824</c:v>
                </c:pt>
                <c:pt idx="66">
                  <c:v>2.1769589805869081</c:v>
                </c:pt>
                <c:pt idx="67">
                  <c:v>2.1516762308470478</c:v>
                </c:pt>
                <c:pt idx="68">
                  <c:v>2.1354506993455136</c:v>
                </c:pt>
                <c:pt idx="69">
                  <c:v>2.197831693328903</c:v>
                </c:pt>
                <c:pt idx="70">
                  <c:v>2.2070955404192181</c:v>
                </c:pt>
                <c:pt idx="71">
                  <c:v>2.0809870469108871</c:v>
                </c:pt>
                <c:pt idx="72">
                  <c:v>2.1528995963937474</c:v>
                </c:pt>
                <c:pt idx="73">
                  <c:v>2.1354506993455136</c:v>
                </c:pt>
                <c:pt idx="74">
                  <c:v>2.2208922492195193</c:v>
                </c:pt>
                <c:pt idx="75">
                  <c:v>2.1986570869544226</c:v>
                </c:pt>
                <c:pt idx="76">
                  <c:v>2.1696744340588068</c:v>
                </c:pt>
                <c:pt idx="77">
                  <c:v>2.1936810295412816</c:v>
                </c:pt>
                <c:pt idx="78">
                  <c:v>2.1900514177592059</c:v>
                </c:pt>
                <c:pt idx="79">
                  <c:v>2.1373541113707328</c:v>
                </c:pt>
                <c:pt idx="80">
                  <c:v>2.0748164406451748</c:v>
                </c:pt>
                <c:pt idx="81">
                  <c:v>2.0021660617565078</c:v>
                </c:pt>
                <c:pt idx="82">
                  <c:v>2.1182647260894796</c:v>
                </c:pt>
                <c:pt idx="83">
                  <c:v>2.1235249809427321</c:v>
                </c:pt>
                <c:pt idx="84">
                  <c:v>2.0884904701823963</c:v>
                </c:pt>
                <c:pt idx="85">
                  <c:v>2.1414497734004674</c:v>
                </c:pt>
                <c:pt idx="86">
                  <c:v>2.1427022457376155</c:v>
                </c:pt>
                <c:pt idx="87">
                  <c:v>2.1486026548060932</c:v>
                </c:pt>
                <c:pt idx="88">
                  <c:v>2.1516762308470478</c:v>
                </c:pt>
                <c:pt idx="89">
                  <c:v>2.131297796597623</c:v>
                </c:pt>
                <c:pt idx="90">
                  <c:v>2.1519823954574742</c:v>
                </c:pt>
                <c:pt idx="91">
                  <c:v>1.890979596989689</c:v>
                </c:pt>
                <c:pt idx="92">
                  <c:v>1.9360107957152095</c:v>
                </c:pt>
                <c:pt idx="93">
                  <c:v>2.095518042323151</c:v>
                </c:pt>
                <c:pt idx="94">
                  <c:v>2.0153597554092144</c:v>
                </c:pt>
                <c:pt idx="95">
                  <c:v>2.0161973535124389</c:v>
                </c:pt>
                <c:pt idx="96">
                  <c:v>2.0863598306747484</c:v>
                </c:pt>
                <c:pt idx="97">
                  <c:v>2.022840610876528</c:v>
                </c:pt>
                <c:pt idx="98">
                  <c:v>2.1277525158329733</c:v>
                </c:pt>
                <c:pt idx="99">
                  <c:v>2.0867156639448825</c:v>
                </c:pt>
                <c:pt idx="100">
                  <c:v>2.1655410767223731</c:v>
                </c:pt>
                <c:pt idx="101">
                  <c:v>2.1195857749617839</c:v>
                </c:pt>
                <c:pt idx="102">
                  <c:v>2.1693804953119495</c:v>
                </c:pt>
                <c:pt idx="103">
                  <c:v>2.2667019668840878</c:v>
                </c:pt>
                <c:pt idx="104">
                  <c:v>2.1734776434529945</c:v>
                </c:pt>
                <c:pt idx="105">
                  <c:v>2.2255677134394709</c:v>
                </c:pt>
                <c:pt idx="106">
                  <c:v>2.182414652434554</c:v>
                </c:pt>
                <c:pt idx="107">
                  <c:v>2.2043913319192998</c:v>
                </c:pt>
                <c:pt idx="108">
                  <c:v>2.246005904076029</c:v>
                </c:pt>
                <c:pt idx="109">
                  <c:v>2.2362852774480286</c:v>
                </c:pt>
                <c:pt idx="110">
                  <c:v>1.9599948383284163</c:v>
                </c:pt>
                <c:pt idx="111">
                  <c:v>2.2097830148485151</c:v>
                </c:pt>
                <c:pt idx="112">
                  <c:v>1.8785217955012066</c:v>
                </c:pt>
                <c:pt idx="113">
                  <c:v>2.1528995963937474</c:v>
                </c:pt>
                <c:pt idx="114">
                  <c:v>2.1501421618485588</c:v>
                </c:pt>
                <c:pt idx="115">
                  <c:v>1.9867717342662448</c:v>
                </c:pt>
                <c:pt idx="116">
                  <c:v>1.9237619608287002</c:v>
                </c:pt>
                <c:pt idx="117">
                  <c:v>1.9772662124272926</c:v>
                </c:pt>
                <c:pt idx="118">
                  <c:v>2.012837224705172</c:v>
                </c:pt>
                <c:pt idx="119">
                  <c:v>2.0445397603924111</c:v>
                </c:pt>
                <c:pt idx="120">
                  <c:v>2.0870712059065353</c:v>
                </c:pt>
                <c:pt idx="121">
                  <c:v>2.0718820073061255</c:v>
                </c:pt>
                <c:pt idx="122">
                  <c:v>2.030194785356751</c:v>
                </c:pt>
                <c:pt idx="123">
                  <c:v>2.0655797147284485</c:v>
                </c:pt>
                <c:pt idx="124">
                  <c:v>2.1215598441875012</c:v>
                </c:pt>
                <c:pt idx="125">
                  <c:v>2.2400497721126476</c:v>
                </c:pt>
                <c:pt idx="126">
                  <c:v>2.1658376246901283</c:v>
                </c:pt>
                <c:pt idx="127">
                  <c:v>2.2161659022859932</c:v>
                </c:pt>
                <c:pt idx="128">
                  <c:v>2.1737688231366499</c:v>
                </c:pt>
                <c:pt idx="129">
                  <c:v>2.1889284837608534</c:v>
                </c:pt>
                <c:pt idx="130">
                  <c:v>2.1604685311190375</c:v>
                </c:pt>
                <c:pt idx="131">
                  <c:v>2.2263420871636308</c:v>
                </c:pt>
                <c:pt idx="132">
                  <c:v>2.2984163800612945</c:v>
                </c:pt>
                <c:pt idx="133">
                  <c:v>2.3130231103232379</c:v>
                </c:pt>
                <c:pt idx="134">
                  <c:v>2.2571984261393445</c:v>
                </c:pt>
                <c:pt idx="135">
                  <c:v>2.2362852774480286</c:v>
                </c:pt>
                <c:pt idx="136">
                  <c:v>2.2732328340430454</c:v>
                </c:pt>
                <c:pt idx="137">
                  <c:v>2.2830749747354715</c:v>
                </c:pt>
                <c:pt idx="138">
                  <c:v>2.330413773349191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1-48CF-A749-715B3F0C9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32736"/>
        <c:axId val="114535808"/>
      </c:scatterChart>
      <c:valAx>
        <c:axId val="114532736"/>
        <c:scaling>
          <c:orientation val="minMax"/>
          <c:max val="2.5499999999999998"/>
          <c:min val="2.2999999999999998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log Length mm</a:t>
                </a:r>
              </a:p>
            </c:rich>
          </c:tx>
          <c:layout>
            <c:manualLayout>
              <c:xMode val="edge"/>
              <c:yMode val="edge"/>
              <c:x val="0.46096159151277261"/>
              <c:y val="0.8895027624309391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35808"/>
        <c:crosses val="autoZero"/>
        <c:crossBetween val="midCat"/>
      </c:valAx>
      <c:valAx>
        <c:axId val="114535808"/>
        <c:scaling>
          <c:orientation val="minMax"/>
          <c:max val="2.4"/>
          <c:min val="1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log Weight g</a:t>
                </a:r>
              </a:p>
            </c:rich>
          </c:tx>
          <c:layout>
            <c:manualLayout>
              <c:xMode val="edge"/>
              <c:yMode val="edge"/>
              <c:x val="2.5525525525525526E-2"/>
              <c:y val="0.3453038674033149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327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28575</xdr:colOff>
      <xdr:row>41</xdr:row>
      <xdr:rowOff>104775</xdr:rowOff>
    </xdr:from>
    <xdr:to>
      <xdr:col>30</xdr:col>
      <xdr:colOff>704850</xdr:colOff>
      <xdr:row>65</xdr:row>
      <xdr:rowOff>25400</xdr:rowOff>
    </xdr:to>
    <xdr:graphicFrame macro="">
      <xdr:nvGraphicFramePr>
        <xdr:cNvPr id="13436" name="Chart 1">
          <a:extLst>
            <a:ext uri="{FF2B5EF4-FFF2-40B4-BE49-F238E27FC236}">
              <a16:creationId xmlns:a16="http://schemas.microsoft.com/office/drawing/2014/main" id="{00000000-0008-0000-0000-00007C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0</xdr:row>
      <xdr:rowOff>66675</xdr:rowOff>
    </xdr:from>
    <xdr:to>
      <xdr:col>30</xdr:col>
      <xdr:colOff>733425</xdr:colOff>
      <xdr:row>20</xdr:row>
      <xdr:rowOff>47625</xdr:rowOff>
    </xdr:to>
    <xdr:graphicFrame macro="">
      <xdr:nvGraphicFramePr>
        <xdr:cNvPr id="13437" name="Chart 2">
          <a:extLst>
            <a:ext uri="{FF2B5EF4-FFF2-40B4-BE49-F238E27FC236}">
              <a16:creationId xmlns:a16="http://schemas.microsoft.com/office/drawing/2014/main" id="{00000000-0008-0000-0000-00007D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28575</xdr:colOff>
      <xdr:row>20</xdr:row>
      <xdr:rowOff>104775</xdr:rowOff>
    </xdr:from>
    <xdr:to>
      <xdr:col>30</xdr:col>
      <xdr:colOff>742950</xdr:colOff>
      <xdr:row>41</xdr:row>
      <xdr:rowOff>28575</xdr:rowOff>
    </xdr:to>
    <xdr:graphicFrame macro="">
      <xdr:nvGraphicFramePr>
        <xdr:cNvPr id="13438" name="Chart 3">
          <a:extLst>
            <a:ext uri="{FF2B5EF4-FFF2-40B4-BE49-F238E27FC236}">
              <a16:creationId xmlns:a16="http://schemas.microsoft.com/office/drawing/2014/main" id="{00000000-0008-0000-0000-00007E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0.12498</cdr:x>
      <cdr:y>0.06782</cdr:y>
    </cdr:from>
    <cdr:to>
      <cdr:x>0.66165</cdr:x>
      <cdr:y>0.20919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1639" y="229540"/>
          <a:ext cx="3399361" cy="4784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 xmlns:a="http://schemas.openxmlformats.org/drawingml/2006/main"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CA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Detail samples from  Sep 14 &amp; Sep 18 ,  2018</a:t>
          </a:r>
          <a:endParaRPr lang="en-CA" sz="10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CA" sz="1175" b="0" i="0" u="none" strike="noStrike" baseline="0">
              <a:solidFill>
                <a:srgbClr val="000000"/>
              </a:solidFill>
              <a:latin typeface="Arial"/>
              <a:cs typeface="Arial"/>
            </a:rPr>
            <a:t>Total of 139 observations</a:t>
          </a:r>
          <a:endParaRPr lang="en-CA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282"/>
  <sheetViews>
    <sheetView tabSelected="1" topLeftCell="J1" zoomScale="75" workbookViewId="0">
      <selection activeCell="S6" sqref="S6"/>
    </sheetView>
  </sheetViews>
  <sheetFormatPr defaultRowHeight="13.2" x14ac:dyDescent="0.25"/>
  <cols>
    <col min="1" max="1" width="10.44140625" customWidth="1"/>
    <col min="5" max="5" width="11.44140625" bestFit="1" customWidth="1"/>
    <col min="6" max="6" width="11.44140625" customWidth="1"/>
    <col min="9" max="9" width="11.44140625" bestFit="1" customWidth="1"/>
    <col min="10" max="10" width="28.33203125" customWidth="1"/>
    <col min="11" max="11" width="9.5546875" bestFit="1" customWidth="1"/>
    <col min="12" max="12" width="9.5546875" customWidth="1"/>
    <col min="13" max="13" width="8.88671875" bestFit="1" customWidth="1"/>
    <col min="14" max="14" width="18.109375" customWidth="1"/>
    <col min="15" max="15" width="12.5546875" bestFit="1" customWidth="1"/>
    <col min="16" max="16" width="13.6640625" bestFit="1" customWidth="1"/>
    <col min="17" max="17" width="19.109375" bestFit="1" customWidth="1"/>
    <col min="18" max="18" width="23.5546875" customWidth="1"/>
    <col min="19" max="19" width="15" bestFit="1" customWidth="1"/>
    <col min="20" max="20" width="18.44140625" customWidth="1"/>
    <col min="21" max="21" width="9.44140625" customWidth="1"/>
    <col min="22" max="22" width="25.6640625" customWidth="1"/>
    <col min="23" max="23" width="16" bestFit="1" customWidth="1"/>
    <col min="24" max="24" width="9" customWidth="1"/>
    <col min="25" max="25" width="12.88671875" bestFit="1" customWidth="1"/>
    <col min="26" max="26" width="14.88671875" customWidth="1"/>
    <col min="27" max="27" width="9.5546875" bestFit="1" customWidth="1"/>
    <col min="28" max="28" width="19.109375" customWidth="1"/>
    <col min="29" max="29" width="12" customWidth="1"/>
    <col min="30" max="30" width="16" bestFit="1" customWidth="1"/>
    <col min="31" max="31" width="11.88671875" customWidth="1"/>
    <col min="32" max="32" width="14.44140625" bestFit="1" customWidth="1"/>
    <col min="33" max="33" width="14.5546875" bestFit="1" customWidth="1"/>
    <col min="34" max="34" width="14.88671875" bestFit="1" customWidth="1"/>
    <col min="35" max="35" width="12" customWidth="1"/>
    <col min="36" max="36" width="19.44140625" bestFit="1" customWidth="1"/>
    <col min="37" max="37" width="12.5546875" customWidth="1"/>
    <col min="38" max="38" width="16.5546875" bestFit="1" customWidth="1"/>
    <col min="39" max="39" width="10.5546875" bestFit="1" customWidth="1"/>
  </cols>
  <sheetData>
    <row r="1" spans="1:40" x14ac:dyDescent="0.25">
      <c r="A1" s="114" t="s">
        <v>196</v>
      </c>
      <c r="N1" t="s">
        <v>22</v>
      </c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</row>
    <row r="2" spans="1:40" ht="13.8" thickBot="1" x14ac:dyDescent="0.3">
      <c r="A2" s="114" t="s">
        <v>199</v>
      </c>
      <c r="I2" t="s">
        <v>23</v>
      </c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</row>
    <row r="3" spans="1:40" ht="13.8" thickBot="1" x14ac:dyDescent="0.3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s="4" t="s">
        <v>33</v>
      </c>
      <c r="K3" t="s">
        <v>34</v>
      </c>
      <c r="N3" t="s">
        <v>35</v>
      </c>
      <c r="Q3">
        <f>O30</f>
        <v>139</v>
      </c>
      <c r="R3" s="13" t="s">
        <v>36</v>
      </c>
      <c r="S3" s="14"/>
      <c r="W3" s="7"/>
      <c r="Y3" s="7"/>
      <c r="Z3" s="7"/>
      <c r="AA3" s="7"/>
      <c r="AB3" s="7"/>
      <c r="AC3" s="7"/>
      <c r="AD3" s="7"/>
      <c r="AE3" s="9"/>
      <c r="AF3" s="9"/>
      <c r="AG3" s="9"/>
      <c r="AH3" s="9"/>
      <c r="AI3" s="9"/>
      <c r="AJ3" s="9"/>
      <c r="AK3" s="7"/>
      <c r="AL3" s="7"/>
      <c r="AM3" s="7"/>
      <c r="AN3" s="7"/>
    </row>
    <row r="4" spans="1:40" ht="13.8" thickBot="1" x14ac:dyDescent="0.3">
      <c r="A4">
        <v>20180930</v>
      </c>
      <c r="B4">
        <v>465</v>
      </c>
      <c r="C4">
        <v>4326.5</v>
      </c>
      <c r="D4">
        <v>6615</v>
      </c>
      <c r="E4" s="15">
        <v>43355</v>
      </c>
      <c r="F4" s="76">
        <v>1</v>
      </c>
      <c r="G4">
        <v>253</v>
      </c>
      <c r="H4">
        <v>124.5</v>
      </c>
      <c r="I4">
        <f>G4</f>
        <v>253</v>
      </c>
      <c r="J4" s="16">
        <f t="shared" ref="J4:J35" si="0">LOG(I4*1.02)</f>
        <v>2.4117206929377355</v>
      </c>
      <c r="K4" s="17">
        <f>LOG(H4)</f>
        <v>2.0951693514317551</v>
      </c>
      <c r="L4" s="17"/>
      <c r="N4" t="s">
        <v>37</v>
      </c>
      <c r="P4" t="s">
        <v>38</v>
      </c>
      <c r="Q4">
        <f>O40</f>
        <v>3.1113648783688217</v>
      </c>
      <c r="R4" s="18" t="s">
        <v>39</v>
      </c>
      <c r="S4" s="19">
        <f>S138</f>
        <v>260.99906738167402</v>
      </c>
      <c r="T4" s="20" t="s">
        <v>40</v>
      </c>
      <c r="U4" s="21">
        <f>(10^(Q4*(LOG(280))+Q5))/1000</f>
        <v>0.16677110635824832</v>
      </c>
      <c r="W4" s="7"/>
      <c r="Y4" s="7"/>
      <c r="Z4" s="7"/>
      <c r="AA4" s="7"/>
      <c r="AB4" s="7"/>
      <c r="AC4" s="7"/>
      <c r="AD4" s="7"/>
      <c r="AE4" s="22"/>
      <c r="AF4" s="22"/>
      <c r="AG4" s="9"/>
      <c r="AH4" s="9"/>
      <c r="AI4" s="9"/>
      <c r="AJ4" s="22"/>
      <c r="AK4" s="7"/>
      <c r="AL4" s="7"/>
      <c r="AM4" s="7"/>
      <c r="AN4" s="7"/>
    </row>
    <row r="5" spans="1:40" ht="13.8" thickBot="1" x14ac:dyDescent="0.3">
      <c r="A5">
        <v>20180930</v>
      </c>
      <c r="B5">
        <v>465</v>
      </c>
      <c r="C5">
        <v>4326.5</v>
      </c>
      <c r="D5">
        <v>6615</v>
      </c>
      <c r="E5" s="15">
        <v>43355</v>
      </c>
      <c r="F5" s="76">
        <v>2</v>
      </c>
      <c r="G5">
        <v>268</v>
      </c>
      <c r="H5">
        <v>164.2</v>
      </c>
      <c r="I5">
        <f>G5</f>
        <v>268</v>
      </c>
      <c r="J5" s="16">
        <f t="shared" si="0"/>
        <v>2.4367349657907065</v>
      </c>
      <c r="K5" s="17">
        <f>LOG(H5)</f>
        <v>2.215373152783422</v>
      </c>
      <c r="L5" s="17"/>
      <c r="P5" t="s">
        <v>41</v>
      </c>
      <c r="Q5">
        <f>O39</f>
        <v>-5.3918807406623079</v>
      </c>
      <c r="R5" s="23" t="s">
        <v>42</v>
      </c>
      <c r="S5" s="24">
        <f>(10^($Q$4*(LOG(S4))+$Q$5))/1000</f>
        <v>0.1340185235646508</v>
      </c>
      <c r="T5" s="8" t="s">
        <v>43</v>
      </c>
      <c r="U5" s="24"/>
      <c r="V5" s="18" t="s">
        <v>44</v>
      </c>
      <c r="W5" s="25"/>
      <c r="Y5" s="8"/>
      <c r="Z5" s="7"/>
      <c r="AA5" s="7"/>
      <c r="AB5" s="7"/>
      <c r="AC5" s="7"/>
      <c r="AD5" s="7"/>
      <c r="AE5" s="22"/>
      <c r="AF5" s="22"/>
      <c r="AG5" s="9"/>
      <c r="AH5" s="9"/>
      <c r="AI5" s="9"/>
      <c r="AJ5" s="22"/>
      <c r="AK5" s="7"/>
      <c r="AL5" s="7"/>
      <c r="AM5" s="7"/>
      <c r="AN5" s="7"/>
    </row>
    <row r="6" spans="1:40" x14ac:dyDescent="0.25">
      <c r="A6">
        <v>20180930</v>
      </c>
      <c r="B6">
        <v>465</v>
      </c>
      <c r="C6">
        <v>4326.5</v>
      </c>
      <c r="D6">
        <v>6615</v>
      </c>
      <c r="E6" s="15">
        <v>43355</v>
      </c>
      <c r="F6" s="76">
        <v>3</v>
      </c>
      <c r="G6">
        <v>247</v>
      </c>
      <c r="H6">
        <v>132.4</v>
      </c>
      <c r="I6">
        <f>G6</f>
        <v>247</v>
      </c>
      <c r="J6" s="16">
        <f t="shared" si="0"/>
        <v>2.4012971250215833</v>
      </c>
      <c r="K6" s="17">
        <f>LOG(H6)</f>
        <v>2.1218879851036809</v>
      </c>
      <c r="L6" s="17"/>
      <c r="R6" s="27" t="s">
        <v>45</v>
      </c>
      <c r="S6" s="28">
        <f>(20*LOG(S4/10)-71.9)-10*LOG(S5)</f>
        <v>-34.838869181701099</v>
      </c>
      <c r="T6" s="29" t="s">
        <v>46</v>
      </c>
      <c r="U6" s="30">
        <f>(20*LOG(280/10)-71.9)-10*LOG(U4)</f>
        <v>-35.178047471896235</v>
      </c>
      <c r="V6" s="31" t="s">
        <v>47</v>
      </c>
      <c r="W6" s="30">
        <v>-35.5</v>
      </c>
      <c r="Y6" s="32"/>
      <c r="Z6" s="7"/>
      <c r="AA6" s="7"/>
      <c r="AB6" s="7"/>
      <c r="AC6" s="7"/>
      <c r="AD6" s="7"/>
      <c r="AE6" s="9"/>
      <c r="AF6" s="9"/>
      <c r="AG6" s="9"/>
      <c r="AH6" s="9"/>
      <c r="AI6" s="9"/>
      <c r="AJ6" s="9"/>
      <c r="AK6" s="7"/>
      <c r="AL6" s="7"/>
      <c r="AM6" s="7"/>
      <c r="AN6" s="7"/>
    </row>
    <row r="7" spans="1:40" x14ac:dyDescent="0.25">
      <c r="A7">
        <v>20180930</v>
      </c>
      <c r="B7">
        <v>465</v>
      </c>
      <c r="C7">
        <v>4326.5</v>
      </c>
      <c r="D7">
        <v>6615</v>
      </c>
      <c r="E7" s="15">
        <v>43355</v>
      </c>
      <c r="F7" s="76">
        <v>4</v>
      </c>
      <c r="G7">
        <v>247</v>
      </c>
      <c r="H7">
        <v>102.4</v>
      </c>
      <c r="I7">
        <f t="shared" ref="I7:I31" si="1">G7</f>
        <v>247</v>
      </c>
      <c r="J7" s="16">
        <f t="shared" si="0"/>
        <v>2.4012971250215833</v>
      </c>
      <c r="K7" s="17">
        <f t="shared" ref="K7:K31" si="2">LOG(H7)</f>
        <v>2.0102999566398121</v>
      </c>
      <c r="L7" s="17"/>
      <c r="R7" s="33" t="s">
        <v>48</v>
      </c>
      <c r="S7" s="34">
        <f>S6+(-0.10727)</f>
        <v>-34.946139181701099</v>
      </c>
      <c r="T7" s="8" t="s">
        <v>49</v>
      </c>
      <c r="U7" s="34">
        <f>U6+(-0.10727)</f>
        <v>-35.285317471896235</v>
      </c>
      <c r="V7" s="23" t="s">
        <v>50</v>
      </c>
      <c r="W7" s="34">
        <f>W6+(-0.10727)</f>
        <v>-35.60727</v>
      </c>
      <c r="Y7" s="32"/>
      <c r="Z7" s="7"/>
      <c r="AA7" s="7"/>
      <c r="AB7" s="7"/>
      <c r="AC7" s="7"/>
      <c r="AD7" s="7"/>
      <c r="AE7" s="9"/>
      <c r="AF7" s="9"/>
      <c r="AG7" s="9"/>
      <c r="AH7" s="9"/>
      <c r="AI7" s="9"/>
      <c r="AJ7" s="9"/>
      <c r="AK7" s="7"/>
      <c r="AL7" s="7"/>
      <c r="AM7" s="7"/>
      <c r="AN7" s="7"/>
    </row>
    <row r="8" spans="1:40" x14ac:dyDescent="0.25">
      <c r="A8">
        <v>20180930</v>
      </c>
      <c r="B8">
        <v>465</v>
      </c>
      <c r="C8">
        <v>4326.5</v>
      </c>
      <c r="D8">
        <v>6615</v>
      </c>
      <c r="E8" s="15">
        <v>43355</v>
      </c>
      <c r="F8" s="76">
        <v>5</v>
      </c>
      <c r="G8">
        <v>235</v>
      </c>
      <c r="H8">
        <v>92.7</v>
      </c>
      <c r="I8">
        <f t="shared" si="1"/>
        <v>235</v>
      </c>
      <c r="J8" s="16">
        <f t="shared" si="0"/>
        <v>2.3796680340336538</v>
      </c>
      <c r="K8" s="17">
        <f t="shared" si="2"/>
        <v>1.967079734144497</v>
      </c>
      <c r="L8" s="17"/>
      <c r="R8" s="33" t="s">
        <v>51</v>
      </c>
      <c r="S8" s="34">
        <f>S6+(-0.26575)</f>
        <v>-35.104619181701096</v>
      </c>
      <c r="T8" s="8" t="s">
        <v>52</v>
      </c>
      <c r="U8" s="34">
        <f>U6+(-0.26575)</f>
        <v>-35.443797471896232</v>
      </c>
      <c r="V8" s="23" t="s">
        <v>53</v>
      </c>
      <c r="W8" s="34">
        <f>W6+(-0.26575)</f>
        <v>-35.765749999999997</v>
      </c>
      <c r="Y8" s="32"/>
      <c r="Z8" s="7"/>
      <c r="AA8" s="7"/>
      <c r="AB8" s="7"/>
      <c r="AC8" s="7"/>
      <c r="AD8" s="7"/>
      <c r="AE8" s="9"/>
      <c r="AF8" s="9"/>
      <c r="AG8" s="9"/>
      <c r="AH8" s="9"/>
      <c r="AI8" s="9"/>
      <c r="AJ8" s="9"/>
      <c r="AK8" s="7"/>
      <c r="AL8" s="7"/>
      <c r="AM8" s="7"/>
      <c r="AN8" s="7"/>
    </row>
    <row r="9" spans="1:40" ht="13.8" thickBot="1" x14ac:dyDescent="0.3">
      <c r="A9">
        <v>20180930</v>
      </c>
      <c r="B9">
        <v>465</v>
      </c>
      <c r="C9">
        <v>4326.5</v>
      </c>
      <c r="D9">
        <v>6615</v>
      </c>
      <c r="E9" s="15">
        <v>43355</v>
      </c>
      <c r="F9" s="76">
        <v>6</v>
      </c>
      <c r="G9">
        <v>242</v>
      </c>
      <c r="H9">
        <v>122</v>
      </c>
      <c r="I9">
        <f t="shared" si="1"/>
        <v>242</v>
      </c>
      <c r="J9" s="16">
        <f t="shared" si="0"/>
        <v>2.3924155377423491</v>
      </c>
      <c r="K9" s="17">
        <f t="shared" si="2"/>
        <v>2.0863598306747484</v>
      </c>
      <c r="L9" s="17"/>
      <c r="R9" s="35" t="s">
        <v>54</v>
      </c>
      <c r="S9" s="36">
        <f>S6+(-0.44946)</f>
        <v>-35.288329181701101</v>
      </c>
      <c r="T9" s="37" t="s">
        <v>55</v>
      </c>
      <c r="U9" s="36">
        <f>U6+(-0.44946)</f>
        <v>-35.627507471896237</v>
      </c>
      <c r="V9" s="38" t="s">
        <v>56</v>
      </c>
      <c r="W9" s="36">
        <f>W6+(-0.44946)</f>
        <v>-35.949460000000002</v>
      </c>
      <c r="X9" s="7"/>
      <c r="Y9" s="39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0" ht="13.8" thickBot="1" x14ac:dyDescent="0.3">
      <c r="A10">
        <v>20180930</v>
      </c>
      <c r="B10">
        <v>465</v>
      </c>
      <c r="C10">
        <v>4326.5</v>
      </c>
      <c r="D10">
        <v>6615</v>
      </c>
      <c r="E10" s="15">
        <v>43355</v>
      </c>
      <c r="F10" s="76">
        <v>7</v>
      </c>
      <c r="G10">
        <v>255</v>
      </c>
      <c r="H10">
        <v>134.30000000000001</v>
      </c>
      <c r="I10">
        <f t="shared" si="1"/>
        <v>255</v>
      </c>
      <c r="J10" s="16">
        <f t="shared" si="0"/>
        <v>2.415140352195873</v>
      </c>
      <c r="K10" s="17">
        <f t="shared" si="2"/>
        <v>2.1280760126687155</v>
      </c>
      <c r="L10" s="17"/>
      <c r="Y10" s="1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 ht="13.8" thickBot="1" x14ac:dyDescent="0.3">
      <c r="A11">
        <v>20180930</v>
      </c>
      <c r="B11">
        <v>465</v>
      </c>
      <c r="C11">
        <v>4326.5</v>
      </c>
      <c r="D11">
        <v>6615</v>
      </c>
      <c r="E11" s="15">
        <v>43355</v>
      </c>
      <c r="F11" s="76">
        <v>8</v>
      </c>
      <c r="G11">
        <v>251</v>
      </c>
      <c r="H11">
        <v>123.9</v>
      </c>
      <c r="I11">
        <f t="shared" si="1"/>
        <v>251</v>
      </c>
      <c r="J11" s="16">
        <f t="shared" si="0"/>
        <v>2.4082738932429555</v>
      </c>
      <c r="K11" s="17">
        <f t="shared" si="2"/>
        <v>2.0930713063760633</v>
      </c>
      <c r="L11" s="17"/>
      <c r="R11" s="40" t="s">
        <v>57</v>
      </c>
      <c r="S11" s="41" t="s">
        <v>58</v>
      </c>
      <c r="T11" s="41" t="s">
        <v>59</v>
      </c>
      <c r="U11" s="42" t="s">
        <v>60</v>
      </c>
      <c r="V11" s="43" t="s">
        <v>61</v>
      </c>
      <c r="W11" s="44" t="s">
        <v>62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 spans="1:40" x14ac:dyDescent="0.25">
      <c r="A12">
        <v>20180930</v>
      </c>
      <c r="B12">
        <v>465</v>
      </c>
      <c r="C12">
        <v>4326.5</v>
      </c>
      <c r="D12">
        <v>6615</v>
      </c>
      <c r="E12" s="15">
        <v>43355</v>
      </c>
      <c r="F12" s="76">
        <v>9</v>
      </c>
      <c r="G12">
        <v>258</v>
      </c>
      <c r="H12">
        <v>128.80000000000001</v>
      </c>
      <c r="I12">
        <f t="shared" si="1"/>
        <v>258</v>
      </c>
      <c r="J12" s="16">
        <f t="shared" si="0"/>
        <v>2.4202198777251476</v>
      </c>
      <c r="K12" s="17">
        <f t="shared" si="2"/>
        <v>2.1099158630237933</v>
      </c>
      <c r="L12" s="17"/>
      <c r="R12" s="45" t="s">
        <v>63</v>
      </c>
      <c r="S12" s="46">
        <f>SUM(U93:U108)</f>
        <v>2.3315458148752623E-3</v>
      </c>
      <c r="T12" s="47">
        <f>SUM(S93:S108)/SUM(P93:P108)</f>
        <v>223.5</v>
      </c>
      <c r="U12" s="48">
        <f>(20*LOG(T12/10)-71.9)-10*LOG($S$5)</f>
        <v>-36.186097742194477</v>
      </c>
      <c r="V12" s="49">
        <f>SUM(AL93:AL108)</f>
        <v>0</v>
      </c>
      <c r="W12" s="50">
        <f>V12/V$16</f>
        <v>0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pans="1:40" x14ac:dyDescent="0.25">
      <c r="A13">
        <v>20180930</v>
      </c>
      <c r="B13">
        <v>465</v>
      </c>
      <c r="C13">
        <v>4326.5</v>
      </c>
      <c r="D13">
        <v>6615</v>
      </c>
      <c r="E13" s="15">
        <v>43355</v>
      </c>
      <c r="F13" s="76">
        <v>10</v>
      </c>
      <c r="G13">
        <v>260</v>
      </c>
      <c r="H13">
        <v>144.1</v>
      </c>
      <c r="I13">
        <f t="shared" si="1"/>
        <v>260</v>
      </c>
      <c r="J13" s="16">
        <f t="shared" si="0"/>
        <v>2.4235735197327357</v>
      </c>
      <c r="K13" s="17">
        <f t="shared" si="2"/>
        <v>2.1586639808139894</v>
      </c>
      <c r="L13" s="17"/>
      <c r="R13" s="45" t="s">
        <v>64</v>
      </c>
      <c r="S13" s="46">
        <f>SUM(U109:U123)</f>
        <v>0.9904406621590115</v>
      </c>
      <c r="T13" s="47">
        <f>SUM(S109:S123)/SUM(P109:P123)</f>
        <v>260.74976459510356</v>
      </c>
      <c r="U13" s="48">
        <f>(20*LOG(T13/10)-71.9)-10*LOG($S$5)</f>
        <v>-34.847169791200145</v>
      </c>
      <c r="V13" s="49">
        <f>SUM(AL109:AL123)</f>
        <v>43707.141561716424</v>
      </c>
      <c r="W13" s="50">
        <f>V13/V$16</f>
        <v>0.99002412126568451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 x14ac:dyDescent="0.25">
      <c r="A14">
        <v>20180930</v>
      </c>
      <c r="B14">
        <v>465</v>
      </c>
      <c r="C14">
        <v>4326.5</v>
      </c>
      <c r="D14">
        <v>6615</v>
      </c>
      <c r="E14" s="15">
        <v>43355</v>
      </c>
      <c r="F14" s="76">
        <v>11</v>
      </c>
      <c r="G14">
        <v>268</v>
      </c>
      <c r="H14">
        <v>167</v>
      </c>
      <c r="I14">
        <f t="shared" si="1"/>
        <v>268</v>
      </c>
      <c r="J14" s="16">
        <f t="shared" si="0"/>
        <v>2.4367349657907065</v>
      </c>
      <c r="K14" s="17">
        <f t="shared" si="2"/>
        <v>2.2227164711475833</v>
      </c>
      <c r="L14" s="17"/>
      <c r="R14" s="45" t="s">
        <v>65</v>
      </c>
      <c r="S14" s="46">
        <f>SUM(U124:U135)</f>
        <v>7.2277920261133131E-3</v>
      </c>
      <c r="T14" s="47">
        <f>SUM(S124:S135)/SUM(P124:P135)</f>
        <v>307.25806451612902</v>
      </c>
      <c r="U14" s="48">
        <f>(20*LOG(T14/10)-71.9)-10*LOG($S$5)</f>
        <v>-33.421582481285895</v>
      </c>
      <c r="V14" s="49">
        <f>SUM(AL124:AL135)</f>
        <v>440.41062705201767</v>
      </c>
      <c r="W14" s="50">
        <f>V14/V$16</f>
        <v>9.9758787343154735E-3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1:40" x14ac:dyDescent="0.25">
      <c r="A15">
        <v>20180930</v>
      </c>
      <c r="B15">
        <v>465</v>
      </c>
      <c r="C15">
        <v>4326.5</v>
      </c>
      <c r="D15">
        <v>6615</v>
      </c>
      <c r="E15" s="15">
        <v>43355</v>
      </c>
      <c r="F15" s="76">
        <v>12</v>
      </c>
      <c r="G15">
        <v>260</v>
      </c>
      <c r="H15">
        <v>145</v>
      </c>
      <c r="I15">
        <f t="shared" si="1"/>
        <v>260</v>
      </c>
      <c r="J15" s="16">
        <f t="shared" si="0"/>
        <v>2.4235735197327357</v>
      </c>
      <c r="K15" s="17">
        <f t="shared" si="2"/>
        <v>2.1613680022349748</v>
      </c>
      <c r="L15" s="17"/>
      <c r="R15" s="45" t="s">
        <v>66</v>
      </c>
      <c r="S15" s="46">
        <f>SUM(U109:U135)</f>
        <v>0.99766845418512484</v>
      </c>
      <c r="T15" s="47">
        <f>SUM(S109:S135)/SUM(P109:P135)</f>
        <v>261.08670250058424</v>
      </c>
      <c r="U15" s="48">
        <f>(20*LOG(T15/10)-71.9)-10*LOG($S$5)</f>
        <v>-34.835953227954292</v>
      </c>
      <c r="V15" s="49">
        <f>SUM(AL109:AL135)</f>
        <v>44147.552188768444</v>
      </c>
      <c r="W15" s="50">
        <f>V15/V$16</f>
        <v>1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 spans="1:40" x14ac:dyDescent="0.25">
      <c r="A16">
        <v>20180930</v>
      </c>
      <c r="B16">
        <v>465</v>
      </c>
      <c r="C16">
        <v>4326.5</v>
      </c>
      <c r="D16">
        <v>6615</v>
      </c>
      <c r="E16" s="15">
        <v>43355</v>
      </c>
      <c r="F16" s="76">
        <v>13</v>
      </c>
      <c r="G16">
        <v>276</v>
      </c>
      <c r="H16">
        <v>135.19999999999999</v>
      </c>
      <c r="I16">
        <f t="shared" si="1"/>
        <v>276</v>
      </c>
      <c r="J16" s="16">
        <f t="shared" si="0"/>
        <v>2.4495092538271352</v>
      </c>
      <c r="K16" s="17">
        <f t="shared" si="2"/>
        <v>2.1309766916056172</v>
      </c>
      <c r="L16" s="17"/>
      <c r="R16" s="11" t="s">
        <v>21</v>
      </c>
      <c r="S16" s="51">
        <f>SUM(S12:S14)</f>
        <v>1</v>
      </c>
      <c r="T16" s="52">
        <f>S138</f>
        <v>260.99906738167402</v>
      </c>
      <c r="U16" s="53">
        <f>(20*LOG(T16/10)-71.9)-10*LOG($S$5)</f>
        <v>-34.838869181701099</v>
      </c>
      <c r="V16" s="54">
        <f>SUM(AL93:AL135)</f>
        <v>44147.552188768444</v>
      </c>
      <c r="W16" s="5">
        <f>V16/V$16</f>
        <v>1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 spans="1:40" ht="13.8" thickBot="1" x14ac:dyDescent="0.3">
      <c r="A17">
        <v>20180930</v>
      </c>
      <c r="B17">
        <v>465</v>
      </c>
      <c r="C17">
        <v>4326.5</v>
      </c>
      <c r="D17">
        <v>6615</v>
      </c>
      <c r="E17" s="15">
        <v>43355</v>
      </c>
      <c r="F17" s="76">
        <v>14</v>
      </c>
      <c r="G17">
        <v>275</v>
      </c>
      <c r="H17">
        <v>157.69999999999999</v>
      </c>
      <c r="I17">
        <f t="shared" si="1"/>
        <v>275</v>
      </c>
      <c r="J17" s="16">
        <f t="shared" si="0"/>
        <v>2.4479328655921804</v>
      </c>
      <c r="K17" s="17">
        <f t="shared" si="2"/>
        <v>2.197831693328903</v>
      </c>
      <c r="L17" s="17"/>
      <c r="R17" s="55" t="s">
        <v>57</v>
      </c>
      <c r="U17" s="56" t="s">
        <v>67</v>
      </c>
      <c r="V17" s="57" t="s">
        <v>68</v>
      </c>
      <c r="W17" s="58" t="s">
        <v>69</v>
      </c>
      <c r="X17" s="59"/>
      <c r="Y17" s="59"/>
      <c r="Z17" s="59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 spans="1:40" x14ac:dyDescent="0.25">
      <c r="A18">
        <v>20180930</v>
      </c>
      <c r="B18">
        <v>465</v>
      </c>
      <c r="C18">
        <v>4326.5</v>
      </c>
      <c r="D18">
        <v>6615</v>
      </c>
      <c r="E18" s="15">
        <v>43355</v>
      </c>
      <c r="F18" s="76">
        <v>15</v>
      </c>
      <c r="G18">
        <v>272</v>
      </c>
      <c r="H18">
        <v>133.6</v>
      </c>
      <c r="I18">
        <f t="shared" si="1"/>
        <v>272</v>
      </c>
      <c r="J18" s="16">
        <f t="shared" si="0"/>
        <v>2.4431690757961162</v>
      </c>
      <c r="K18" s="17">
        <f t="shared" si="2"/>
        <v>2.1258064581395271</v>
      </c>
      <c r="L18" s="17"/>
      <c r="R18" s="45" t="s">
        <v>63</v>
      </c>
      <c r="U18" s="48">
        <f>20*LOG(T12/10)-71.9</f>
        <v>-44.914449450640902</v>
      </c>
      <c r="V18" s="60">
        <f>SUM(AI93:AI108)</f>
        <v>0</v>
      </c>
      <c r="W18" s="61">
        <f>V18/V$22</f>
        <v>0</v>
      </c>
      <c r="X18" s="59"/>
      <c r="Y18" s="59"/>
      <c r="Z18" s="59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1:40" x14ac:dyDescent="0.25">
      <c r="A19">
        <v>20180930</v>
      </c>
      <c r="B19">
        <v>465</v>
      </c>
      <c r="C19">
        <v>4326.5</v>
      </c>
      <c r="D19">
        <v>6615</v>
      </c>
      <c r="E19" s="15">
        <v>43355</v>
      </c>
      <c r="F19" s="76">
        <v>16</v>
      </c>
      <c r="G19">
        <v>225</v>
      </c>
      <c r="H19">
        <v>89.5</v>
      </c>
      <c r="I19">
        <f t="shared" si="1"/>
        <v>225</v>
      </c>
      <c r="J19" s="16">
        <f t="shared" si="0"/>
        <v>2.3607826898732802</v>
      </c>
      <c r="K19" s="17">
        <f t="shared" si="2"/>
        <v>1.9518230353159121</v>
      </c>
      <c r="L19" s="17"/>
      <c r="R19" s="45" t="s">
        <v>64</v>
      </c>
      <c r="U19" s="48">
        <f>20*LOG(T13/10)-71.9</f>
        <v>-43.575521499646563</v>
      </c>
      <c r="V19" s="60">
        <f>SUM(AI109:AI123)</f>
        <v>43503.81511639784</v>
      </c>
      <c r="W19" s="61">
        <f>V19/V$22</f>
        <v>0.98814398270098525</v>
      </c>
      <c r="X19" s="59"/>
      <c r="Y19" s="59"/>
      <c r="Z19" s="59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1:40" x14ac:dyDescent="0.25">
      <c r="A20">
        <v>20180930</v>
      </c>
      <c r="B20">
        <v>465</v>
      </c>
      <c r="C20">
        <v>4326.5</v>
      </c>
      <c r="D20">
        <v>6615</v>
      </c>
      <c r="E20" s="15">
        <v>43355</v>
      </c>
      <c r="F20" s="76">
        <v>17</v>
      </c>
      <c r="G20">
        <v>232</v>
      </c>
      <c r="H20">
        <v>93.9</v>
      </c>
      <c r="I20">
        <f t="shared" si="1"/>
        <v>232</v>
      </c>
      <c r="J20" s="16">
        <f t="shared" si="0"/>
        <v>2.3740881566528174</v>
      </c>
      <c r="K20" s="17">
        <f t="shared" si="2"/>
        <v>1.9726655922661109</v>
      </c>
      <c r="L20" s="17"/>
      <c r="R20" s="45" t="s">
        <v>65</v>
      </c>
      <c r="U20" s="48">
        <f>20*LOG(T14/10)-71.9</f>
        <v>-42.149934189732321</v>
      </c>
      <c r="V20" s="60">
        <f>SUM(AI124:AI135)</f>
        <v>521.97047558121892</v>
      </c>
      <c r="W20" s="61">
        <f>V20/V$22</f>
        <v>1.1856017299014769E-2</v>
      </c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</row>
    <row r="21" spans="1:40" x14ac:dyDescent="0.25">
      <c r="A21">
        <v>20180930</v>
      </c>
      <c r="B21">
        <v>465</v>
      </c>
      <c r="C21">
        <v>4326.5</v>
      </c>
      <c r="D21">
        <v>6615</v>
      </c>
      <c r="E21" s="15">
        <v>43355</v>
      </c>
      <c r="F21" s="76">
        <v>18</v>
      </c>
      <c r="G21">
        <v>271</v>
      </c>
      <c r="H21">
        <v>161</v>
      </c>
      <c r="I21">
        <f t="shared" si="1"/>
        <v>271</v>
      </c>
      <c r="J21" s="16">
        <f t="shared" si="0"/>
        <v>2.4415694626363234</v>
      </c>
      <c r="K21" s="17">
        <f t="shared" si="2"/>
        <v>2.2068258760318495</v>
      </c>
      <c r="L21" s="17"/>
      <c r="R21" s="45" t="s">
        <v>66</v>
      </c>
      <c r="U21" s="48">
        <f>20*LOG(T15/10)-71.9</f>
        <v>-43.56430493640071</v>
      </c>
      <c r="V21" s="60">
        <f>SUM(AI109:AI135)</f>
        <v>44025.785591979053</v>
      </c>
      <c r="W21" s="61">
        <f>V21/V$22</f>
        <v>0.99999999999999989</v>
      </c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</row>
    <row r="22" spans="1:40" x14ac:dyDescent="0.25">
      <c r="A22">
        <v>20180930</v>
      </c>
      <c r="B22">
        <v>465</v>
      </c>
      <c r="C22">
        <v>4326.5</v>
      </c>
      <c r="D22">
        <v>6615</v>
      </c>
      <c r="E22" s="15">
        <v>43355</v>
      </c>
      <c r="F22" s="76">
        <v>19</v>
      </c>
      <c r="G22">
        <v>281</v>
      </c>
      <c r="H22">
        <v>185.6</v>
      </c>
      <c r="I22">
        <f t="shared" si="1"/>
        <v>281</v>
      </c>
      <c r="J22" s="16">
        <f t="shared" si="0"/>
        <v>2.4573064916669973</v>
      </c>
      <c r="K22" s="17">
        <f t="shared" si="2"/>
        <v>2.2685779718828432</v>
      </c>
      <c r="L22" s="17"/>
      <c r="N22" s="3" t="s">
        <v>70</v>
      </c>
      <c r="O22" s="3"/>
      <c r="P22" s="3"/>
      <c r="R22" s="11" t="s">
        <v>21</v>
      </c>
      <c r="U22" s="53">
        <f>20*LOG(T16/10)-71.9</f>
        <v>-43.567220890147517</v>
      </c>
      <c r="V22" s="62">
        <f>SUM(V18:V20)</f>
        <v>44025.78559197906</v>
      </c>
      <c r="W22" s="63">
        <f>V22/V$22</f>
        <v>1</v>
      </c>
      <c r="X22" s="64"/>
      <c r="Y22" s="64"/>
      <c r="Z22" s="64"/>
      <c r="AA22" s="64"/>
      <c r="AB22" s="64"/>
      <c r="AC22" s="64"/>
      <c r="AD22" s="64"/>
      <c r="AE22" s="7"/>
      <c r="AF22" s="7"/>
      <c r="AG22" s="7"/>
      <c r="AH22" s="7"/>
      <c r="AI22" s="7"/>
      <c r="AJ22" s="7"/>
      <c r="AK22" s="7"/>
      <c r="AL22" s="7"/>
      <c r="AM22" s="7"/>
      <c r="AN22" s="7"/>
    </row>
    <row r="23" spans="1:40" x14ac:dyDescent="0.25">
      <c r="A23">
        <v>20180930</v>
      </c>
      <c r="B23">
        <v>465</v>
      </c>
      <c r="C23">
        <v>4326.5</v>
      </c>
      <c r="D23">
        <v>6615</v>
      </c>
      <c r="E23" s="15">
        <v>43355</v>
      </c>
      <c r="F23" s="76">
        <v>20</v>
      </c>
      <c r="G23">
        <v>285</v>
      </c>
      <c r="H23">
        <v>172.8</v>
      </c>
      <c r="I23">
        <f t="shared" si="1"/>
        <v>285</v>
      </c>
      <c r="J23" s="16">
        <f t="shared" si="0"/>
        <v>2.4634450317704277</v>
      </c>
      <c r="K23" s="17">
        <f t="shared" si="2"/>
        <v>2.2375437381428744</v>
      </c>
      <c r="L23" s="17"/>
      <c r="N23" t="s">
        <v>71</v>
      </c>
      <c r="X23" s="59"/>
      <c r="Y23" s="59"/>
      <c r="Z23" s="59"/>
      <c r="AA23" s="59"/>
      <c r="AB23" s="59"/>
      <c r="AC23" s="59"/>
      <c r="AD23" s="59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 spans="1:40" ht="13.8" thickBot="1" x14ac:dyDescent="0.3">
      <c r="A24">
        <v>20180963</v>
      </c>
      <c r="B24">
        <v>465</v>
      </c>
      <c r="C24">
        <v>4320</v>
      </c>
      <c r="D24">
        <v>6605.3</v>
      </c>
      <c r="E24" s="15">
        <v>43357</v>
      </c>
      <c r="F24" s="76">
        <v>1</v>
      </c>
      <c r="G24">
        <v>229</v>
      </c>
      <c r="H24">
        <v>91.9</v>
      </c>
      <c r="I24">
        <f t="shared" si="1"/>
        <v>229</v>
      </c>
      <c r="J24" s="16">
        <f t="shared" si="0"/>
        <v>2.3684356541018055</v>
      </c>
      <c r="K24" s="17">
        <f t="shared" si="2"/>
        <v>1.9633155113861114</v>
      </c>
      <c r="L24" s="17"/>
      <c r="X24" s="59"/>
      <c r="Y24" s="59"/>
      <c r="Z24" s="59"/>
      <c r="AA24" s="59"/>
      <c r="AB24" s="59"/>
      <c r="AC24" s="59"/>
      <c r="AD24" s="59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0" x14ac:dyDescent="0.25">
      <c r="A25">
        <v>20180963</v>
      </c>
      <c r="B25">
        <v>465</v>
      </c>
      <c r="C25">
        <v>4320</v>
      </c>
      <c r="D25">
        <v>6605.3</v>
      </c>
      <c r="E25" s="15">
        <v>43357</v>
      </c>
      <c r="F25" s="76">
        <v>2</v>
      </c>
      <c r="G25">
        <v>241</v>
      </c>
      <c r="H25">
        <v>104.3</v>
      </c>
      <c r="I25">
        <f t="shared" si="1"/>
        <v>241</v>
      </c>
      <c r="J25" s="16">
        <f t="shared" si="0"/>
        <v>2.3906172143367859</v>
      </c>
      <c r="K25" s="17">
        <f t="shared" si="2"/>
        <v>2.0182843084265309</v>
      </c>
      <c r="L25" s="17"/>
      <c r="N25" s="65" t="s">
        <v>72</v>
      </c>
      <c r="O25" s="65"/>
      <c r="Y25" s="59"/>
      <c r="Z25" s="59"/>
      <c r="AA25" s="59"/>
      <c r="AB25" s="59"/>
      <c r="AC25" s="59"/>
      <c r="AD25" s="59"/>
      <c r="AE25" s="7"/>
      <c r="AF25" s="7"/>
      <c r="AG25" s="7"/>
      <c r="AH25" s="7"/>
      <c r="AI25" s="7"/>
      <c r="AJ25" s="7"/>
      <c r="AK25" s="7"/>
      <c r="AL25" s="7"/>
      <c r="AM25" s="7"/>
      <c r="AN25" s="7"/>
    </row>
    <row r="26" spans="1:40" ht="18" customHeight="1" x14ac:dyDescent="0.25">
      <c r="A26">
        <v>20180963</v>
      </c>
      <c r="B26">
        <v>465</v>
      </c>
      <c r="C26">
        <v>4320</v>
      </c>
      <c r="D26">
        <v>6605.3</v>
      </c>
      <c r="E26" s="15">
        <v>43357</v>
      </c>
      <c r="F26" s="76">
        <v>3</v>
      </c>
      <c r="G26">
        <v>247</v>
      </c>
      <c r="H26">
        <v>104.2</v>
      </c>
      <c r="I26">
        <f t="shared" si="1"/>
        <v>247</v>
      </c>
      <c r="J26" s="16">
        <f t="shared" si="0"/>
        <v>2.4012971250215833</v>
      </c>
      <c r="K26" s="17">
        <f t="shared" si="2"/>
        <v>2.0178677189635055</v>
      </c>
      <c r="L26" s="17"/>
      <c r="N26" s="59" t="s">
        <v>73</v>
      </c>
      <c r="O26" s="59">
        <v>0.94529597940029286</v>
      </c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</row>
    <row r="27" spans="1:40" x14ac:dyDescent="0.25">
      <c r="A27">
        <v>20180963</v>
      </c>
      <c r="B27">
        <v>465</v>
      </c>
      <c r="C27">
        <v>4320</v>
      </c>
      <c r="D27">
        <v>6605.3</v>
      </c>
      <c r="E27" s="15">
        <v>43357</v>
      </c>
      <c r="F27" s="76">
        <v>4</v>
      </c>
      <c r="G27">
        <v>238</v>
      </c>
      <c r="H27">
        <v>113.8</v>
      </c>
      <c r="I27">
        <f t="shared" si="1"/>
        <v>238</v>
      </c>
      <c r="J27" s="16">
        <f t="shared" si="0"/>
        <v>2.3851771288184294</v>
      </c>
      <c r="K27" s="17">
        <f t="shared" si="2"/>
        <v>2.0561422620590522</v>
      </c>
      <c r="L27" s="17"/>
      <c r="N27" s="59" t="s">
        <v>74</v>
      </c>
      <c r="O27" s="59">
        <v>0.89358448867035889</v>
      </c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7"/>
      <c r="AM27" s="7"/>
      <c r="AN27" s="7"/>
    </row>
    <row r="28" spans="1:40" x14ac:dyDescent="0.25">
      <c r="A28">
        <v>20180963</v>
      </c>
      <c r="B28">
        <v>465</v>
      </c>
      <c r="C28">
        <v>4320</v>
      </c>
      <c r="D28">
        <v>6605.3</v>
      </c>
      <c r="E28" s="15">
        <v>43357</v>
      </c>
      <c r="F28" s="76">
        <v>5</v>
      </c>
      <c r="G28">
        <v>248</v>
      </c>
      <c r="H28">
        <v>106.4</v>
      </c>
      <c r="I28">
        <f t="shared" si="1"/>
        <v>248</v>
      </c>
      <c r="J28" s="16">
        <f t="shared" si="0"/>
        <v>2.4030518525881339</v>
      </c>
      <c r="K28" s="17">
        <f t="shared" si="2"/>
        <v>2.0269416279590295</v>
      </c>
      <c r="L28" s="17"/>
      <c r="N28" s="59" t="s">
        <v>75</v>
      </c>
      <c r="O28" s="59">
        <v>0.89280773311320827</v>
      </c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7"/>
      <c r="AM28" s="7"/>
      <c r="AN28" s="7"/>
    </row>
    <row r="29" spans="1:40" x14ac:dyDescent="0.25">
      <c r="A29">
        <v>20180963</v>
      </c>
      <c r="B29">
        <v>465</v>
      </c>
      <c r="C29">
        <v>4320</v>
      </c>
      <c r="D29">
        <v>6605.3</v>
      </c>
      <c r="E29" s="15">
        <v>43357</v>
      </c>
      <c r="F29" s="76">
        <v>6</v>
      </c>
      <c r="G29">
        <v>266</v>
      </c>
      <c r="H29">
        <v>164.5</v>
      </c>
      <c r="I29">
        <f t="shared" si="1"/>
        <v>266</v>
      </c>
      <c r="J29" s="16">
        <f t="shared" si="0"/>
        <v>2.4334818083929846</v>
      </c>
      <c r="K29" s="17">
        <f t="shared" si="2"/>
        <v>2.2161659022859932</v>
      </c>
      <c r="L29" s="17"/>
      <c r="N29" s="59" t="s">
        <v>76</v>
      </c>
      <c r="O29" s="59">
        <v>3.0700428556288656E-2</v>
      </c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7"/>
      <c r="AM29" s="7"/>
      <c r="AN29" s="7"/>
    </row>
    <row r="30" spans="1:40" ht="13.8" thickBot="1" x14ac:dyDescent="0.3">
      <c r="A30">
        <v>20180963</v>
      </c>
      <c r="B30">
        <v>465</v>
      </c>
      <c r="C30">
        <v>4320</v>
      </c>
      <c r="D30">
        <v>6605.3</v>
      </c>
      <c r="E30" s="15">
        <v>43357</v>
      </c>
      <c r="F30" s="76">
        <v>7</v>
      </c>
      <c r="G30">
        <v>253</v>
      </c>
      <c r="H30">
        <v>130.1</v>
      </c>
      <c r="I30">
        <f t="shared" si="1"/>
        <v>253</v>
      </c>
      <c r="J30" s="16">
        <f t="shared" si="0"/>
        <v>2.4117206929377355</v>
      </c>
      <c r="K30" s="17">
        <f t="shared" si="2"/>
        <v>2.1142772965615864</v>
      </c>
      <c r="L30" s="17"/>
      <c r="N30" s="66" t="s">
        <v>77</v>
      </c>
      <c r="O30" s="66">
        <v>139</v>
      </c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 spans="1:40" x14ac:dyDescent="0.25">
      <c r="A31">
        <v>20180963</v>
      </c>
      <c r="B31">
        <v>465</v>
      </c>
      <c r="C31">
        <v>4320</v>
      </c>
      <c r="D31">
        <v>6605.3</v>
      </c>
      <c r="E31" s="15">
        <v>43357</v>
      </c>
      <c r="F31" s="76">
        <v>8</v>
      </c>
      <c r="G31">
        <v>259</v>
      </c>
      <c r="H31">
        <v>152.5</v>
      </c>
      <c r="I31">
        <f t="shared" si="1"/>
        <v>259</v>
      </c>
      <c r="J31" s="16">
        <f t="shared" si="0"/>
        <v>2.4218999358431694</v>
      </c>
      <c r="K31" s="17">
        <f t="shared" si="2"/>
        <v>2.1832698436828046</v>
      </c>
      <c r="L31" s="17"/>
    </row>
    <row r="32" spans="1:40" ht="13.8" thickBot="1" x14ac:dyDescent="0.3">
      <c r="A32">
        <v>20180963</v>
      </c>
      <c r="B32">
        <v>465</v>
      </c>
      <c r="C32">
        <v>4320</v>
      </c>
      <c r="D32">
        <v>6605.3</v>
      </c>
      <c r="E32" s="15">
        <v>43357</v>
      </c>
      <c r="F32" s="26">
        <v>9</v>
      </c>
      <c r="G32">
        <v>254</v>
      </c>
      <c r="H32">
        <v>140.30000000000001</v>
      </c>
      <c r="I32">
        <f t="shared" ref="I32:I55" si="3">G32</f>
        <v>254</v>
      </c>
      <c r="J32" s="16">
        <f t="shared" si="0"/>
        <v>2.4134338883818556</v>
      </c>
      <c r="K32" s="17">
        <f t="shared" ref="K32:K55" si="4">LOG(H32)</f>
        <v>2.1470576710283598</v>
      </c>
      <c r="L32" s="17"/>
      <c r="N32" t="s">
        <v>78</v>
      </c>
      <c r="X32" s="59"/>
    </row>
    <row r="33" spans="1:24" x14ac:dyDescent="0.25">
      <c r="A33">
        <v>20180963</v>
      </c>
      <c r="B33">
        <v>465</v>
      </c>
      <c r="C33">
        <v>4320</v>
      </c>
      <c r="D33">
        <v>6605.3</v>
      </c>
      <c r="E33" s="15">
        <v>43357</v>
      </c>
      <c r="F33" s="76">
        <v>10</v>
      </c>
      <c r="G33">
        <v>257</v>
      </c>
      <c r="H33">
        <v>135.5</v>
      </c>
      <c r="I33">
        <f t="shared" si="3"/>
        <v>257</v>
      </c>
      <c r="J33" s="16">
        <f t="shared" si="0"/>
        <v>2.4185332950932121</v>
      </c>
      <c r="K33" s="17">
        <f t="shared" si="4"/>
        <v>2.1319392952104246</v>
      </c>
      <c r="L33" s="17"/>
      <c r="N33" s="67"/>
      <c r="O33" s="67" t="s">
        <v>79</v>
      </c>
      <c r="P33" s="67" t="s">
        <v>80</v>
      </c>
      <c r="Q33" s="67" t="s">
        <v>81</v>
      </c>
      <c r="R33" s="67" t="s">
        <v>82</v>
      </c>
      <c r="S33" s="67" t="s">
        <v>83</v>
      </c>
      <c r="X33" s="7"/>
    </row>
    <row r="34" spans="1:24" x14ac:dyDescent="0.25">
      <c r="A34">
        <v>20180963</v>
      </c>
      <c r="B34">
        <v>465</v>
      </c>
      <c r="C34">
        <v>4320</v>
      </c>
      <c r="D34">
        <v>6605.3</v>
      </c>
      <c r="E34" s="15">
        <v>43357</v>
      </c>
      <c r="F34" s="76">
        <v>11</v>
      </c>
      <c r="G34">
        <v>266</v>
      </c>
      <c r="H34">
        <v>156.5</v>
      </c>
      <c r="I34">
        <f t="shared" si="3"/>
        <v>266</v>
      </c>
      <c r="J34" s="16">
        <f t="shared" si="0"/>
        <v>2.4334818083929846</v>
      </c>
      <c r="K34" s="17">
        <f t="shared" si="4"/>
        <v>2.1945143418824671</v>
      </c>
      <c r="L34" s="17"/>
      <c r="N34" s="59" t="s">
        <v>84</v>
      </c>
      <c r="O34" s="59">
        <v>1</v>
      </c>
      <c r="P34" s="59">
        <v>1.0842767075750157</v>
      </c>
      <c r="Q34" s="59">
        <v>1.0842767075750157</v>
      </c>
      <c r="R34" s="59">
        <v>1150.4063027862362</v>
      </c>
      <c r="S34" s="59">
        <v>1.6094826221393461E-68</v>
      </c>
      <c r="X34" s="64"/>
    </row>
    <row r="35" spans="1:24" x14ac:dyDescent="0.25">
      <c r="A35">
        <v>20180963</v>
      </c>
      <c r="B35">
        <v>465</v>
      </c>
      <c r="C35">
        <v>4320</v>
      </c>
      <c r="D35">
        <v>6605.3</v>
      </c>
      <c r="E35" s="15">
        <v>43357</v>
      </c>
      <c r="F35" s="76">
        <v>12</v>
      </c>
      <c r="G35">
        <v>262</v>
      </c>
      <c r="H35">
        <v>141.69999999999999</v>
      </c>
      <c r="I35">
        <f t="shared" si="3"/>
        <v>262</v>
      </c>
      <c r="J35" s="16">
        <f t="shared" si="0"/>
        <v>2.4269014630816632</v>
      </c>
      <c r="K35" s="17">
        <f t="shared" si="4"/>
        <v>2.1513698502474603</v>
      </c>
      <c r="L35" s="17"/>
      <c r="N35" s="59" t="s">
        <v>85</v>
      </c>
      <c r="O35" s="59">
        <v>137</v>
      </c>
      <c r="P35" s="59">
        <v>0.12912473495495039</v>
      </c>
      <c r="Q35" s="59">
        <v>9.4251631353978388E-4</v>
      </c>
      <c r="R35" s="59"/>
      <c r="S35" s="59"/>
      <c r="X35" s="59"/>
    </row>
    <row r="36" spans="1:24" ht="13.8" thickBot="1" x14ac:dyDescent="0.3">
      <c r="A36">
        <v>20180963</v>
      </c>
      <c r="B36">
        <v>465</v>
      </c>
      <c r="C36">
        <v>4320</v>
      </c>
      <c r="D36">
        <v>6605.3</v>
      </c>
      <c r="E36" s="15">
        <v>43357</v>
      </c>
      <c r="F36" s="76">
        <v>13</v>
      </c>
      <c r="G36">
        <v>263</v>
      </c>
      <c r="H36">
        <v>144.80000000000001</v>
      </c>
      <c r="I36">
        <f t="shared" si="3"/>
        <v>263</v>
      </c>
      <c r="J36" s="16">
        <f t="shared" ref="J36:J55" si="5">LOG(I36*1.02)</f>
        <v>2.4285559202516755</v>
      </c>
      <c r="K36" s="17">
        <f t="shared" si="4"/>
        <v>2.1607685618611283</v>
      </c>
      <c r="L36" s="17"/>
      <c r="N36" s="66" t="s">
        <v>21</v>
      </c>
      <c r="O36" s="66">
        <v>138</v>
      </c>
      <c r="P36" s="66">
        <v>1.2134014425299662</v>
      </c>
      <c r="Q36" s="66"/>
      <c r="R36" s="66"/>
      <c r="S36" s="66"/>
      <c r="X36" s="59"/>
    </row>
    <row r="37" spans="1:24" ht="13.8" thickBot="1" x14ac:dyDescent="0.3">
      <c r="A37">
        <v>20180963</v>
      </c>
      <c r="B37">
        <v>465</v>
      </c>
      <c r="C37">
        <v>4320</v>
      </c>
      <c r="D37">
        <v>6605.3</v>
      </c>
      <c r="E37" s="15">
        <v>43357</v>
      </c>
      <c r="F37" s="76">
        <v>14</v>
      </c>
      <c r="G37">
        <v>276</v>
      </c>
      <c r="H37">
        <v>172.1</v>
      </c>
      <c r="I37">
        <f t="shared" si="3"/>
        <v>276</v>
      </c>
      <c r="J37" s="16">
        <f t="shared" si="5"/>
        <v>2.4495092538271352</v>
      </c>
      <c r="K37" s="17">
        <f t="shared" si="4"/>
        <v>2.2357808703275603</v>
      </c>
      <c r="L37" s="17"/>
      <c r="X37" s="7"/>
    </row>
    <row r="38" spans="1:24" x14ac:dyDescent="0.25">
      <c r="A38">
        <v>20180963</v>
      </c>
      <c r="B38">
        <v>465</v>
      </c>
      <c r="C38">
        <v>4320</v>
      </c>
      <c r="D38">
        <v>6605.3</v>
      </c>
      <c r="E38" s="15">
        <v>43357</v>
      </c>
      <c r="F38" s="76">
        <v>15</v>
      </c>
      <c r="G38">
        <v>292</v>
      </c>
      <c r="H38">
        <v>196.5</v>
      </c>
      <c r="I38">
        <f t="shared" si="3"/>
        <v>292</v>
      </c>
      <c r="J38" s="16">
        <f t="shared" si="5"/>
        <v>2.4739830232103359</v>
      </c>
      <c r="K38" s="17">
        <f t="shared" si="4"/>
        <v>2.2933625547114453</v>
      </c>
      <c r="L38" s="17"/>
      <c r="N38" s="67"/>
      <c r="O38" s="67" t="s">
        <v>86</v>
      </c>
      <c r="P38" s="67" t="s">
        <v>76</v>
      </c>
      <c r="Q38" s="67" t="s">
        <v>87</v>
      </c>
      <c r="R38" s="67" t="s">
        <v>88</v>
      </c>
      <c r="S38" s="67" t="s">
        <v>89</v>
      </c>
      <c r="T38" s="67" t="s">
        <v>90</v>
      </c>
      <c r="U38" s="67" t="s">
        <v>91</v>
      </c>
      <c r="V38" s="67" t="s">
        <v>92</v>
      </c>
    </row>
    <row r="39" spans="1:24" x14ac:dyDescent="0.25">
      <c r="A39">
        <v>20180963</v>
      </c>
      <c r="B39">
        <v>465</v>
      </c>
      <c r="C39">
        <v>4320</v>
      </c>
      <c r="D39">
        <v>6605.3</v>
      </c>
      <c r="E39" s="15">
        <v>43357</v>
      </c>
      <c r="F39" s="76">
        <v>16</v>
      </c>
      <c r="G39">
        <v>277</v>
      </c>
      <c r="H39">
        <v>161.19999999999999</v>
      </c>
      <c r="I39">
        <f t="shared" si="3"/>
        <v>277</v>
      </c>
      <c r="J39" s="16">
        <f t="shared" si="5"/>
        <v>2.4510799408263662</v>
      </c>
      <c r="K39" s="17">
        <f t="shared" si="4"/>
        <v>2.2073650374690716</v>
      </c>
      <c r="L39" s="17"/>
      <c r="N39" s="59" t="s">
        <v>93</v>
      </c>
      <c r="O39" s="59">
        <v>-5.3918807406623079</v>
      </c>
      <c r="P39" s="59">
        <v>0.22211973566583237</v>
      </c>
      <c r="Q39" s="59">
        <v>-24.274658550711194</v>
      </c>
      <c r="R39" s="59">
        <v>1.8115225559433509E-51</v>
      </c>
      <c r="S39" s="59">
        <v>-5.831107238837566</v>
      </c>
      <c r="T39" s="59">
        <v>-4.9526542424870499</v>
      </c>
      <c r="U39" s="59">
        <v>-5.831107238837566</v>
      </c>
      <c r="V39" s="59">
        <v>-4.9526542424870499</v>
      </c>
    </row>
    <row r="40" spans="1:24" ht="13.8" thickBot="1" x14ac:dyDescent="0.3">
      <c r="A40">
        <v>20180963</v>
      </c>
      <c r="B40">
        <v>465</v>
      </c>
      <c r="C40">
        <v>4320</v>
      </c>
      <c r="D40">
        <v>6605.3</v>
      </c>
      <c r="E40" s="15">
        <v>43357</v>
      </c>
      <c r="F40" s="76">
        <v>17</v>
      </c>
      <c r="G40">
        <v>273</v>
      </c>
      <c r="H40">
        <v>156.30000000000001</v>
      </c>
      <c r="I40">
        <f t="shared" si="3"/>
        <v>273</v>
      </c>
      <c r="J40" s="16">
        <f t="shared" si="5"/>
        <v>2.4447628188026735</v>
      </c>
      <c r="K40" s="17">
        <f t="shared" si="4"/>
        <v>2.1939589780191868</v>
      </c>
      <c r="L40" s="17"/>
      <c r="N40" s="66" t="s">
        <v>94</v>
      </c>
      <c r="O40" s="66">
        <v>3.1113648783688217</v>
      </c>
      <c r="P40" s="66">
        <v>9.1732941292119424E-2</v>
      </c>
      <c r="Q40" s="66">
        <v>33.917639994348598</v>
      </c>
      <c r="R40" s="66">
        <v>1.6094826221393918E-68</v>
      </c>
      <c r="S40" s="66">
        <v>2.9299692970609512</v>
      </c>
      <c r="T40" s="66">
        <v>3.2927604596766922</v>
      </c>
      <c r="U40" s="66">
        <v>2.9299692970609512</v>
      </c>
      <c r="V40" s="66">
        <v>3.2927604596766922</v>
      </c>
    </row>
    <row r="41" spans="1:24" x14ac:dyDescent="0.25">
      <c r="A41">
        <v>20180963</v>
      </c>
      <c r="B41">
        <v>465</v>
      </c>
      <c r="C41">
        <v>4320</v>
      </c>
      <c r="D41">
        <v>6605.3</v>
      </c>
      <c r="E41" s="15">
        <v>43357</v>
      </c>
      <c r="F41" s="76">
        <v>18</v>
      </c>
      <c r="G41">
        <v>281</v>
      </c>
      <c r="H41">
        <v>185.5</v>
      </c>
      <c r="I41">
        <f t="shared" si="3"/>
        <v>281</v>
      </c>
      <c r="J41" s="16">
        <f t="shared" si="5"/>
        <v>2.4573064916669973</v>
      </c>
      <c r="K41" s="17">
        <f t="shared" si="4"/>
        <v>2.2683439139510648</v>
      </c>
      <c r="L41" s="17"/>
    </row>
    <row r="42" spans="1:24" x14ac:dyDescent="0.25">
      <c r="A42">
        <v>20180963</v>
      </c>
      <c r="B42">
        <v>465</v>
      </c>
      <c r="C42">
        <v>4320</v>
      </c>
      <c r="D42">
        <v>6605.3</v>
      </c>
      <c r="E42" s="15">
        <v>43357</v>
      </c>
      <c r="F42" s="76">
        <v>19</v>
      </c>
      <c r="G42">
        <v>286</v>
      </c>
      <c r="H42">
        <v>185.7</v>
      </c>
      <c r="I42">
        <f t="shared" si="3"/>
        <v>286</v>
      </c>
      <c r="J42" s="16">
        <f t="shared" si="5"/>
        <v>2.4649662048909606</v>
      </c>
      <c r="K42" s="17">
        <f t="shared" si="4"/>
        <v>2.2688119037397803</v>
      </c>
      <c r="L42" s="17"/>
    </row>
    <row r="43" spans="1:24" x14ac:dyDescent="0.25">
      <c r="A43">
        <v>20180963</v>
      </c>
      <c r="B43">
        <v>465</v>
      </c>
      <c r="C43">
        <v>4320</v>
      </c>
      <c r="D43">
        <v>6605.3</v>
      </c>
      <c r="E43" s="15">
        <v>43357</v>
      </c>
      <c r="F43" s="76">
        <v>20</v>
      </c>
      <c r="G43">
        <v>274</v>
      </c>
      <c r="H43">
        <v>159.4</v>
      </c>
      <c r="I43">
        <f t="shared" si="3"/>
        <v>274</v>
      </c>
      <c r="J43" s="16">
        <f t="shared" si="5"/>
        <v>2.4463507345823055</v>
      </c>
      <c r="K43" s="17">
        <f t="shared" si="4"/>
        <v>2.2024883170600935</v>
      </c>
      <c r="L43" s="17"/>
    </row>
    <row r="44" spans="1:24" x14ac:dyDescent="0.25">
      <c r="A44">
        <v>20180963</v>
      </c>
      <c r="B44">
        <v>465</v>
      </c>
      <c r="C44">
        <v>4320</v>
      </c>
      <c r="D44">
        <v>6605.3</v>
      </c>
      <c r="E44" s="15">
        <v>43357</v>
      </c>
      <c r="F44" s="76">
        <v>21</v>
      </c>
      <c r="G44">
        <v>234</v>
      </c>
      <c r="H44">
        <v>97.6</v>
      </c>
      <c r="I44">
        <f t="shared" si="3"/>
        <v>234</v>
      </c>
      <c r="J44" s="16">
        <f t="shared" si="5"/>
        <v>2.3778160291720605</v>
      </c>
      <c r="K44" s="17">
        <f t="shared" si="4"/>
        <v>1.9894498176666917</v>
      </c>
      <c r="L44" s="17"/>
      <c r="N44" t="s">
        <v>194</v>
      </c>
    </row>
    <row r="45" spans="1:24" x14ac:dyDescent="0.25">
      <c r="A45">
        <v>20180985</v>
      </c>
      <c r="B45">
        <v>465</v>
      </c>
      <c r="C45">
        <v>4318</v>
      </c>
      <c r="D45">
        <v>6609</v>
      </c>
      <c r="E45" s="15">
        <v>43361</v>
      </c>
      <c r="F45" s="76">
        <v>1</v>
      </c>
      <c r="G45">
        <v>239</v>
      </c>
      <c r="H45">
        <v>104.6</v>
      </c>
      <c r="I45">
        <f t="shared" si="3"/>
        <v>239</v>
      </c>
      <c r="J45" s="16">
        <f t="shared" si="5"/>
        <v>2.386998072710055</v>
      </c>
      <c r="K45" s="17">
        <f t="shared" si="4"/>
        <v>2.0195316845312554</v>
      </c>
      <c r="L45" s="17"/>
      <c r="N45" s="1" t="s">
        <v>195</v>
      </c>
    </row>
    <row r="46" spans="1:24" x14ac:dyDescent="0.25">
      <c r="A46">
        <v>20180985</v>
      </c>
      <c r="B46">
        <v>465</v>
      </c>
      <c r="C46">
        <v>4318</v>
      </c>
      <c r="D46">
        <v>6609</v>
      </c>
      <c r="E46" s="15">
        <v>43361</v>
      </c>
      <c r="F46" s="76">
        <v>2</v>
      </c>
      <c r="G46">
        <v>243</v>
      </c>
      <c r="H46">
        <v>117.4</v>
      </c>
      <c r="I46">
        <f t="shared" si="3"/>
        <v>243</v>
      </c>
      <c r="J46" s="16">
        <f t="shared" si="5"/>
        <v>2.3942064453602296</v>
      </c>
      <c r="K46" s="17">
        <f t="shared" si="4"/>
        <v>2.0696680969115957</v>
      </c>
      <c r="L46" s="17"/>
      <c r="N46" s="1"/>
    </row>
    <row r="47" spans="1:24" x14ac:dyDescent="0.25">
      <c r="A47">
        <v>20180985</v>
      </c>
      <c r="B47">
        <v>465</v>
      </c>
      <c r="C47">
        <v>4318</v>
      </c>
      <c r="D47">
        <v>6609</v>
      </c>
      <c r="E47" s="15">
        <v>43361</v>
      </c>
      <c r="F47" s="76">
        <v>3</v>
      </c>
      <c r="G47">
        <v>247</v>
      </c>
      <c r="H47">
        <v>118</v>
      </c>
      <c r="I47">
        <f t="shared" si="3"/>
        <v>247</v>
      </c>
      <c r="J47" s="16">
        <f t="shared" si="5"/>
        <v>2.4012971250215833</v>
      </c>
      <c r="K47" s="17">
        <f t="shared" si="4"/>
        <v>2.0718820073061255</v>
      </c>
      <c r="L47" s="17"/>
      <c r="N47" s="15"/>
      <c r="O47" t="s">
        <v>174</v>
      </c>
      <c r="U47" t="s">
        <v>156</v>
      </c>
      <c r="V47" t="s">
        <v>139</v>
      </c>
    </row>
    <row r="48" spans="1:24" x14ac:dyDescent="0.25">
      <c r="A48">
        <v>20180985</v>
      </c>
      <c r="B48">
        <v>465</v>
      </c>
      <c r="C48">
        <v>4318</v>
      </c>
      <c r="D48">
        <v>6609</v>
      </c>
      <c r="E48" s="15">
        <v>43361</v>
      </c>
      <c r="F48" s="76">
        <v>4</v>
      </c>
      <c r="G48">
        <v>253</v>
      </c>
      <c r="H48">
        <v>125.5</v>
      </c>
      <c r="I48">
        <f t="shared" si="3"/>
        <v>253</v>
      </c>
      <c r="J48" s="16">
        <f t="shared" si="5"/>
        <v>2.4117206929377355</v>
      </c>
      <c r="K48" s="17">
        <f t="shared" si="4"/>
        <v>2.0986437258170572</v>
      </c>
      <c r="L48" s="17"/>
      <c r="N48" s="15" t="s">
        <v>28</v>
      </c>
      <c r="O48" t="s">
        <v>175</v>
      </c>
      <c r="P48" t="s">
        <v>24</v>
      </c>
      <c r="Q48" t="s">
        <v>159</v>
      </c>
      <c r="R48" t="s">
        <v>26</v>
      </c>
      <c r="S48" t="s">
        <v>27</v>
      </c>
      <c r="T48" t="s">
        <v>184</v>
      </c>
      <c r="U48" t="s">
        <v>95</v>
      </c>
      <c r="V48" t="s">
        <v>161</v>
      </c>
    </row>
    <row r="49" spans="1:22" x14ac:dyDescent="0.25">
      <c r="A49">
        <v>20180985</v>
      </c>
      <c r="B49">
        <v>465</v>
      </c>
      <c r="C49">
        <v>4318</v>
      </c>
      <c r="D49">
        <v>6609</v>
      </c>
      <c r="E49" s="15">
        <v>43361</v>
      </c>
      <c r="F49" s="76">
        <v>5</v>
      </c>
      <c r="G49">
        <v>248</v>
      </c>
      <c r="H49">
        <v>120.8</v>
      </c>
      <c r="I49">
        <f t="shared" si="3"/>
        <v>248</v>
      </c>
      <c r="J49" s="16">
        <f t="shared" si="5"/>
        <v>2.4030518525881339</v>
      </c>
      <c r="K49" s="17">
        <f t="shared" si="4"/>
        <v>2.082066934285113</v>
      </c>
      <c r="L49" s="17"/>
      <c r="N49" s="100">
        <v>43357</v>
      </c>
      <c r="O49">
        <v>465</v>
      </c>
      <c r="P49">
        <v>20180958</v>
      </c>
      <c r="Q49" t="s">
        <v>193</v>
      </c>
      <c r="R49">
        <v>4324.2700000000004</v>
      </c>
      <c r="S49">
        <v>6609</v>
      </c>
      <c r="T49" s="109">
        <v>51</v>
      </c>
      <c r="U49">
        <v>155</v>
      </c>
      <c r="V49">
        <v>264.39</v>
      </c>
    </row>
    <row r="50" spans="1:22" x14ac:dyDescent="0.25">
      <c r="A50">
        <v>20180985</v>
      </c>
      <c r="B50">
        <v>465</v>
      </c>
      <c r="C50">
        <v>4318</v>
      </c>
      <c r="D50">
        <v>6609</v>
      </c>
      <c r="E50" s="15">
        <v>43361</v>
      </c>
      <c r="F50" s="76">
        <v>6</v>
      </c>
      <c r="G50">
        <v>254</v>
      </c>
      <c r="H50">
        <v>128.1</v>
      </c>
      <c r="I50">
        <f t="shared" si="3"/>
        <v>254</v>
      </c>
      <c r="J50" s="16">
        <f t="shared" si="5"/>
        <v>2.4134338883818556</v>
      </c>
      <c r="K50" s="17">
        <f t="shared" si="4"/>
        <v>2.1075491297446862</v>
      </c>
      <c r="L50" s="17"/>
      <c r="N50" s="15"/>
      <c r="O50">
        <v>465</v>
      </c>
      <c r="P50">
        <v>20180959</v>
      </c>
      <c r="Q50" t="s">
        <v>193</v>
      </c>
      <c r="R50">
        <v>4324.2700000000004</v>
      </c>
      <c r="S50">
        <v>6609</v>
      </c>
      <c r="T50">
        <v>51</v>
      </c>
      <c r="U50">
        <v>213</v>
      </c>
      <c r="V50">
        <v>264.51</v>
      </c>
    </row>
    <row r="51" spans="1:22" x14ac:dyDescent="0.25">
      <c r="A51">
        <v>20180985</v>
      </c>
      <c r="B51">
        <v>465</v>
      </c>
      <c r="C51">
        <v>4318</v>
      </c>
      <c r="D51">
        <v>6609</v>
      </c>
      <c r="E51" s="15">
        <v>43361</v>
      </c>
      <c r="F51" s="76">
        <v>7</v>
      </c>
      <c r="G51">
        <v>256</v>
      </c>
      <c r="H51">
        <v>132.6</v>
      </c>
      <c r="I51">
        <f t="shared" si="3"/>
        <v>256</v>
      </c>
      <c r="J51" s="16">
        <f t="shared" si="5"/>
        <v>2.4168401370737671</v>
      </c>
      <c r="K51" s="17">
        <f t="shared" si="4"/>
        <v>2.1225435240687545</v>
      </c>
      <c r="L51" s="17"/>
      <c r="O51">
        <v>465</v>
      </c>
      <c r="P51">
        <v>20180960</v>
      </c>
      <c r="Q51" t="s">
        <v>176</v>
      </c>
      <c r="R51">
        <v>4320.6000000000004</v>
      </c>
      <c r="S51">
        <v>6606.11</v>
      </c>
      <c r="T51">
        <v>70</v>
      </c>
      <c r="U51">
        <v>202</v>
      </c>
      <c r="V51">
        <v>257.87</v>
      </c>
    </row>
    <row r="52" spans="1:22" x14ac:dyDescent="0.25">
      <c r="A52">
        <v>20180985</v>
      </c>
      <c r="B52">
        <v>465</v>
      </c>
      <c r="C52">
        <v>4318</v>
      </c>
      <c r="D52">
        <v>6609</v>
      </c>
      <c r="E52" s="15">
        <v>43361</v>
      </c>
      <c r="F52" s="76">
        <v>8</v>
      </c>
      <c r="G52">
        <v>266</v>
      </c>
      <c r="H52">
        <v>176</v>
      </c>
      <c r="I52">
        <f t="shared" si="3"/>
        <v>266</v>
      </c>
      <c r="J52" s="16">
        <f t="shared" si="5"/>
        <v>2.4334818083929846</v>
      </c>
      <c r="K52" s="17">
        <f t="shared" si="4"/>
        <v>2.2455126678141499</v>
      </c>
      <c r="L52" s="17"/>
      <c r="N52" s="15"/>
      <c r="O52">
        <v>465</v>
      </c>
      <c r="P52">
        <v>20180961</v>
      </c>
      <c r="Q52" t="s">
        <v>176</v>
      </c>
      <c r="R52">
        <v>4320.6000000000004</v>
      </c>
      <c r="S52">
        <v>6606.11</v>
      </c>
      <c r="T52">
        <v>70</v>
      </c>
      <c r="U52">
        <v>151</v>
      </c>
      <c r="V52">
        <v>261.69</v>
      </c>
    </row>
    <row r="53" spans="1:22" x14ac:dyDescent="0.25">
      <c r="A53">
        <v>20180985</v>
      </c>
      <c r="B53">
        <v>465</v>
      </c>
      <c r="C53">
        <v>4318</v>
      </c>
      <c r="D53">
        <v>6609</v>
      </c>
      <c r="E53" s="15">
        <v>43361</v>
      </c>
      <c r="F53" s="76">
        <v>9</v>
      </c>
      <c r="G53">
        <v>259</v>
      </c>
      <c r="H53">
        <v>134.80000000000001</v>
      </c>
      <c r="I53">
        <f t="shared" si="3"/>
        <v>259</v>
      </c>
      <c r="J53" s="16">
        <f t="shared" si="5"/>
        <v>2.4218999358431694</v>
      </c>
      <c r="K53" s="17">
        <f t="shared" si="4"/>
        <v>2.129689892199301</v>
      </c>
      <c r="L53" s="17"/>
      <c r="N53" s="15"/>
      <c r="O53">
        <v>465</v>
      </c>
      <c r="P53">
        <v>20180962</v>
      </c>
      <c r="Q53" t="s">
        <v>176</v>
      </c>
      <c r="R53">
        <v>4320.6000000000004</v>
      </c>
      <c r="S53">
        <v>6606.11</v>
      </c>
      <c r="T53">
        <v>70</v>
      </c>
      <c r="U53">
        <v>205</v>
      </c>
      <c r="V53">
        <v>257.14999999999998</v>
      </c>
    </row>
    <row r="54" spans="1:22" x14ac:dyDescent="0.25">
      <c r="A54">
        <v>20180985</v>
      </c>
      <c r="B54">
        <v>465</v>
      </c>
      <c r="C54">
        <v>4318</v>
      </c>
      <c r="D54">
        <v>6609</v>
      </c>
      <c r="E54" s="15">
        <v>43361</v>
      </c>
      <c r="F54" s="76">
        <v>10</v>
      </c>
      <c r="G54">
        <v>274</v>
      </c>
      <c r="H54">
        <v>165</v>
      </c>
      <c r="I54">
        <f t="shared" si="3"/>
        <v>274</v>
      </c>
      <c r="J54" s="16">
        <f t="shared" si="5"/>
        <v>2.4463507345823055</v>
      </c>
      <c r="K54" s="17">
        <f t="shared" si="4"/>
        <v>2.2174839442139063</v>
      </c>
      <c r="L54" s="17"/>
      <c r="O54">
        <v>465</v>
      </c>
      <c r="P54">
        <v>20180963</v>
      </c>
      <c r="Q54" t="s">
        <v>191</v>
      </c>
      <c r="R54">
        <v>4320</v>
      </c>
      <c r="S54">
        <v>6605.3</v>
      </c>
      <c r="T54">
        <v>36.5</v>
      </c>
      <c r="U54">
        <v>150</v>
      </c>
      <c r="V54">
        <v>259.8</v>
      </c>
    </row>
    <row r="55" spans="1:22" x14ac:dyDescent="0.25">
      <c r="A55">
        <v>20180985</v>
      </c>
      <c r="B55">
        <v>465</v>
      </c>
      <c r="C55">
        <v>4318</v>
      </c>
      <c r="D55">
        <v>6609</v>
      </c>
      <c r="E55" s="15">
        <v>43361</v>
      </c>
      <c r="F55" s="76">
        <v>11</v>
      </c>
      <c r="G55">
        <v>262</v>
      </c>
      <c r="H55">
        <v>151.1</v>
      </c>
      <c r="I55">
        <f t="shared" si="3"/>
        <v>262</v>
      </c>
      <c r="J55" s="16">
        <f t="shared" si="5"/>
        <v>2.4269014630816632</v>
      </c>
      <c r="K55" s="17">
        <f t="shared" si="4"/>
        <v>2.1792644643390253</v>
      </c>
      <c r="L55" s="17"/>
      <c r="O55">
        <v>465</v>
      </c>
      <c r="P55">
        <v>20180964</v>
      </c>
      <c r="Q55" t="s">
        <v>191</v>
      </c>
      <c r="R55">
        <v>4320</v>
      </c>
      <c r="S55">
        <v>6605.3</v>
      </c>
      <c r="T55">
        <v>36.5</v>
      </c>
      <c r="U55">
        <v>202</v>
      </c>
      <c r="V55">
        <v>265.5</v>
      </c>
    </row>
    <row r="56" spans="1:22" x14ac:dyDescent="0.25">
      <c r="A56">
        <v>20180985</v>
      </c>
      <c r="B56">
        <v>465</v>
      </c>
      <c r="C56">
        <v>4318</v>
      </c>
      <c r="D56">
        <v>6609</v>
      </c>
      <c r="E56" s="15">
        <v>43361</v>
      </c>
      <c r="F56" s="76">
        <v>12</v>
      </c>
      <c r="G56">
        <v>273</v>
      </c>
      <c r="H56">
        <v>157.69999999999999</v>
      </c>
      <c r="I56">
        <f t="shared" ref="I56:I87" si="6">G56</f>
        <v>273</v>
      </c>
      <c r="J56" s="16">
        <f t="shared" ref="J56:J74" si="7">LOG(I56*1.02)</f>
        <v>2.4447628188026735</v>
      </c>
      <c r="K56" s="17">
        <f t="shared" ref="K56:K87" si="8">LOG(H56)</f>
        <v>2.197831693328903</v>
      </c>
      <c r="L56" s="17"/>
      <c r="O56">
        <v>465</v>
      </c>
      <c r="P56">
        <v>20180965</v>
      </c>
      <c r="Q56" t="s">
        <v>187</v>
      </c>
      <c r="R56">
        <v>4320</v>
      </c>
      <c r="S56">
        <v>6606</v>
      </c>
      <c r="T56">
        <v>40.5</v>
      </c>
      <c r="U56">
        <v>150</v>
      </c>
      <c r="V56">
        <v>259.7</v>
      </c>
    </row>
    <row r="57" spans="1:22" x14ac:dyDescent="0.25">
      <c r="A57">
        <v>20180985</v>
      </c>
      <c r="B57">
        <v>465</v>
      </c>
      <c r="C57">
        <v>4318</v>
      </c>
      <c r="D57">
        <v>6609</v>
      </c>
      <c r="E57" s="15">
        <v>43361</v>
      </c>
      <c r="F57" s="76">
        <v>13</v>
      </c>
      <c r="G57">
        <v>262</v>
      </c>
      <c r="H57">
        <v>144</v>
      </c>
      <c r="I57">
        <f t="shared" si="6"/>
        <v>262</v>
      </c>
      <c r="J57" s="16">
        <f t="shared" si="7"/>
        <v>2.4269014630816632</v>
      </c>
      <c r="K57" s="17">
        <f t="shared" si="8"/>
        <v>2.1583624920952498</v>
      </c>
      <c r="L57" s="17"/>
      <c r="N57" s="15"/>
      <c r="O57">
        <v>465</v>
      </c>
      <c r="P57">
        <v>20180966</v>
      </c>
      <c r="Q57" t="s">
        <v>187</v>
      </c>
      <c r="R57">
        <v>4320</v>
      </c>
      <c r="S57">
        <v>6606</v>
      </c>
      <c r="T57">
        <v>40.5</v>
      </c>
      <c r="U57">
        <v>197</v>
      </c>
      <c r="V57">
        <v>262.94</v>
      </c>
    </row>
    <row r="58" spans="1:22" x14ac:dyDescent="0.25">
      <c r="A58">
        <v>20180985</v>
      </c>
      <c r="B58">
        <v>465</v>
      </c>
      <c r="C58">
        <v>4318</v>
      </c>
      <c r="D58">
        <v>6609</v>
      </c>
      <c r="E58" s="15">
        <v>43361</v>
      </c>
      <c r="F58" s="76">
        <v>14</v>
      </c>
      <c r="G58">
        <v>297</v>
      </c>
      <c r="H58">
        <v>209</v>
      </c>
      <c r="I58">
        <f t="shared" si="6"/>
        <v>297</v>
      </c>
      <c r="J58" s="16">
        <f t="shared" si="7"/>
        <v>2.4813566210791298</v>
      </c>
      <c r="K58" s="17">
        <f t="shared" si="8"/>
        <v>2.3201462861110542</v>
      </c>
      <c r="L58" s="17"/>
      <c r="O58">
        <v>465</v>
      </c>
      <c r="P58">
        <v>20180967</v>
      </c>
      <c r="Q58" t="s">
        <v>180</v>
      </c>
      <c r="R58">
        <v>4321.2700000000004</v>
      </c>
      <c r="S58">
        <v>6610</v>
      </c>
      <c r="T58">
        <v>219</v>
      </c>
      <c r="U58">
        <v>216</v>
      </c>
      <c r="V58">
        <v>263.29000000000002</v>
      </c>
    </row>
    <row r="59" spans="1:22" x14ac:dyDescent="0.25">
      <c r="A59">
        <v>20180985</v>
      </c>
      <c r="B59">
        <v>465</v>
      </c>
      <c r="C59">
        <v>4318</v>
      </c>
      <c r="D59">
        <v>6609</v>
      </c>
      <c r="E59" s="15">
        <v>43361</v>
      </c>
      <c r="F59" s="76">
        <v>15</v>
      </c>
      <c r="G59">
        <v>266</v>
      </c>
      <c r="H59">
        <v>157.80000000000001</v>
      </c>
      <c r="I59">
        <f t="shared" si="6"/>
        <v>266</v>
      </c>
      <c r="J59" s="16">
        <f t="shared" si="7"/>
        <v>2.4334818083929846</v>
      </c>
      <c r="K59" s="17">
        <f t="shared" si="8"/>
        <v>2.1981069988734014</v>
      </c>
      <c r="L59" s="17"/>
      <c r="O59">
        <v>465</v>
      </c>
      <c r="P59">
        <v>20180968</v>
      </c>
      <c r="Q59" t="s">
        <v>192</v>
      </c>
      <c r="R59">
        <v>4327</v>
      </c>
      <c r="S59">
        <v>6606</v>
      </c>
      <c r="T59">
        <v>68</v>
      </c>
      <c r="U59">
        <v>207</v>
      </c>
      <c r="V59">
        <v>261.98</v>
      </c>
    </row>
    <row r="60" spans="1:22" x14ac:dyDescent="0.25">
      <c r="A60">
        <v>20180985</v>
      </c>
      <c r="B60">
        <v>465</v>
      </c>
      <c r="C60">
        <v>4318</v>
      </c>
      <c r="D60">
        <v>6609</v>
      </c>
      <c r="E60" s="15">
        <v>43361</v>
      </c>
      <c r="F60" s="76">
        <v>16</v>
      </c>
      <c r="G60">
        <v>271</v>
      </c>
      <c r="H60">
        <v>159.80000000000001</v>
      </c>
      <c r="I60">
        <f t="shared" si="6"/>
        <v>271</v>
      </c>
      <c r="J60" s="16">
        <f t="shared" si="7"/>
        <v>2.4415694626363234</v>
      </c>
      <c r="K60" s="17">
        <f t="shared" si="8"/>
        <v>2.2035767749779724</v>
      </c>
      <c r="L60" s="17"/>
      <c r="N60" s="15">
        <v>43361</v>
      </c>
      <c r="O60">
        <v>465</v>
      </c>
      <c r="P60">
        <v>20180978</v>
      </c>
      <c r="Q60" t="s">
        <v>176</v>
      </c>
      <c r="R60">
        <v>4318.68</v>
      </c>
      <c r="S60">
        <v>6609.06</v>
      </c>
      <c r="T60">
        <v>42.5</v>
      </c>
      <c r="U60">
        <v>150</v>
      </c>
      <c r="V60">
        <v>258.52999999999997</v>
      </c>
    </row>
    <row r="61" spans="1:22" x14ac:dyDescent="0.25">
      <c r="A61">
        <v>20180985</v>
      </c>
      <c r="B61">
        <v>465</v>
      </c>
      <c r="C61">
        <v>4318</v>
      </c>
      <c r="D61">
        <v>6609</v>
      </c>
      <c r="E61" s="15">
        <v>43361</v>
      </c>
      <c r="F61" s="76">
        <v>17</v>
      </c>
      <c r="G61">
        <v>281</v>
      </c>
      <c r="H61">
        <v>172.4</v>
      </c>
      <c r="I61">
        <f t="shared" si="6"/>
        <v>281</v>
      </c>
      <c r="J61" s="16">
        <f t="shared" si="7"/>
        <v>2.4573064916669973</v>
      </c>
      <c r="K61" s="17">
        <f t="shared" si="8"/>
        <v>2.236537261488694</v>
      </c>
      <c r="L61" s="17"/>
      <c r="O61">
        <v>465</v>
      </c>
      <c r="P61">
        <v>20180979</v>
      </c>
      <c r="Q61" t="s">
        <v>176</v>
      </c>
      <c r="R61">
        <v>4318.68</v>
      </c>
      <c r="S61">
        <v>6609.06</v>
      </c>
      <c r="T61">
        <v>42.5</v>
      </c>
      <c r="U61">
        <v>201</v>
      </c>
      <c r="V61">
        <v>263.51</v>
      </c>
    </row>
    <row r="62" spans="1:22" x14ac:dyDescent="0.25">
      <c r="A62">
        <v>20180985</v>
      </c>
      <c r="B62">
        <v>465</v>
      </c>
      <c r="C62">
        <v>4318</v>
      </c>
      <c r="D62">
        <v>6609</v>
      </c>
      <c r="E62" s="15">
        <v>43361</v>
      </c>
      <c r="F62" s="76">
        <v>18</v>
      </c>
      <c r="G62">
        <v>288</v>
      </c>
      <c r="H62">
        <v>200.1</v>
      </c>
      <c r="I62">
        <f t="shared" si="6"/>
        <v>288</v>
      </c>
      <c r="J62" s="16">
        <f t="shared" si="7"/>
        <v>2.4679926595211485</v>
      </c>
      <c r="K62" s="17">
        <f t="shared" si="8"/>
        <v>2.3012470886362113</v>
      </c>
      <c r="L62" s="17"/>
      <c r="O62">
        <v>465</v>
      </c>
      <c r="P62">
        <v>20180980</v>
      </c>
      <c r="Q62" t="s">
        <v>177</v>
      </c>
      <c r="R62">
        <v>4317.8999999999996</v>
      </c>
      <c r="S62">
        <v>6608.3</v>
      </c>
      <c r="T62">
        <v>41</v>
      </c>
      <c r="U62">
        <v>150</v>
      </c>
      <c r="V62">
        <v>261.13</v>
      </c>
    </row>
    <row r="63" spans="1:22" x14ac:dyDescent="0.25">
      <c r="A63">
        <v>20180985</v>
      </c>
      <c r="B63">
        <v>465</v>
      </c>
      <c r="C63">
        <v>4318</v>
      </c>
      <c r="D63">
        <v>6609</v>
      </c>
      <c r="E63" s="15">
        <v>43361</v>
      </c>
      <c r="F63" s="76">
        <v>19</v>
      </c>
      <c r="G63">
        <v>283</v>
      </c>
      <c r="H63">
        <v>193.9</v>
      </c>
      <c r="I63">
        <f t="shared" si="6"/>
        <v>283</v>
      </c>
      <c r="J63" s="16">
        <f t="shared" si="7"/>
        <v>2.4603866072862077</v>
      </c>
      <c r="K63" s="17">
        <f t="shared" si="8"/>
        <v>2.2875778090787056</v>
      </c>
      <c r="L63" s="17"/>
      <c r="O63">
        <v>465</v>
      </c>
      <c r="P63">
        <v>20180981</v>
      </c>
      <c r="Q63" t="s">
        <v>177</v>
      </c>
      <c r="R63">
        <v>4317.8999999999996</v>
      </c>
      <c r="S63">
        <v>6608.3</v>
      </c>
      <c r="T63">
        <v>41</v>
      </c>
      <c r="U63">
        <v>158</v>
      </c>
      <c r="V63">
        <v>260.60000000000002</v>
      </c>
    </row>
    <row r="64" spans="1:22" x14ac:dyDescent="0.25">
      <c r="A64">
        <v>20180985</v>
      </c>
      <c r="B64">
        <v>465</v>
      </c>
      <c r="C64">
        <v>4318</v>
      </c>
      <c r="D64">
        <v>6609</v>
      </c>
      <c r="E64" s="15">
        <v>43361</v>
      </c>
      <c r="F64" s="76">
        <v>20</v>
      </c>
      <c r="G64">
        <v>263</v>
      </c>
      <c r="H64">
        <v>159.19999999999999</v>
      </c>
      <c r="I64">
        <f t="shared" si="6"/>
        <v>263</v>
      </c>
      <c r="J64" s="16">
        <f t="shared" si="7"/>
        <v>2.4285559202516755</v>
      </c>
      <c r="K64" s="17">
        <f t="shared" si="8"/>
        <v>2.2019430634016501</v>
      </c>
      <c r="L64" s="17"/>
      <c r="O64">
        <v>465</v>
      </c>
      <c r="P64">
        <v>20180982</v>
      </c>
      <c r="Q64" t="s">
        <v>177</v>
      </c>
      <c r="R64">
        <v>4317.8999999999996</v>
      </c>
      <c r="S64">
        <v>6608.3</v>
      </c>
      <c r="T64">
        <v>41</v>
      </c>
      <c r="U64">
        <v>233</v>
      </c>
      <c r="V64">
        <v>261.22000000000003</v>
      </c>
    </row>
    <row r="65" spans="1:24" x14ac:dyDescent="0.25">
      <c r="A65">
        <v>20180985</v>
      </c>
      <c r="B65">
        <v>465</v>
      </c>
      <c r="C65">
        <v>4318</v>
      </c>
      <c r="D65">
        <v>6609</v>
      </c>
      <c r="E65" s="15">
        <v>43361</v>
      </c>
      <c r="F65" s="76">
        <v>21</v>
      </c>
      <c r="G65">
        <v>260</v>
      </c>
      <c r="H65">
        <v>149.69999999999999</v>
      </c>
      <c r="I65">
        <f t="shared" si="6"/>
        <v>260</v>
      </c>
      <c r="J65" s="16">
        <f t="shared" si="7"/>
        <v>2.4235735197327357</v>
      </c>
      <c r="K65" s="17">
        <f t="shared" si="8"/>
        <v>2.1752218003430523</v>
      </c>
      <c r="L65" s="17"/>
      <c r="O65">
        <v>465</v>
      </c>
      <c r="P65">
        <v>20180983</v>
      </c>
      <c r="Q65" t="s">
        <v>191</v>
      </c>
      <c r="R65">
        <v>4319</v>
      </c>
      <c r="S65">
        <v>6609.3</v>
      </c>
      <c r="T65">
        <v>40.5</v>
      </c>
      <c r="U65">
        <v>150</v>
      </c>
      <c r="V65">
        <v>256.39999999999998</v>
      </c>
    </row>
    <row r="66" spans="1:24" x14ac:dyDescent="0.25">
      <c r="A66">
        <v>20180985</v>
      </c>
      <c r="B66">
        <v>465</v>
      </c>
      <c r="C66">
        <v>4318</v>
      </c>
      <c r="D66">
        <v>6609</v>
      </c>
      <c r="E66" s="15">
        <v>43361</v>
      </c>
      <c r="F66" s="76">
        <v>22</v>
      </c>
      <c r="G66">
        <v>258</v>
      </c>
      <c r="H66">
        <v>139.6</v>
      </c>
      <c r="I66">
        <f t="shared" si="6"/>
        <v>258</v>
      </c>
      <c r="J66" s="16">
        <f t="shared" si="7"/>
        <v>2.4202198777251476</v>
      </c>
      <c r="K66" s="17">
        <f t="shared" si="8"/>
        <v>2.1448854182871422</v>
      </c>
      <c r="L66" s="17"/>
      <c r="O66">
        <v>465</v>
      </c>
      <c r="P66">
        <v>20180984</v>
      </c>
      <c r="Q66" t="s">
        <v>191</v>
      </c>
      <c r="R66">
        <v>4319</v>
      </c>
      <c r="S66">
        <v>6609.3</v>
      </c>
      <c r="T66">
        <v>40.5</v>
      </c>
      <c r="U66">
        <v>221</v>
      </c>
      <c r="V66">
        <v>267.94</v>
      </c>
    </row>
    <row r="67" spans="1:24" x14ac:dyDescent="0.25">
      <c r="A67">
        <v>20180985</v>
      </c>
      <c r="B67">
        <v>465</v>
      </c>
      <c r="C67">
        <v>4318</v>
      </c>
      <c r="D67">
        <v>6609</v>
      </c>
      <c r="E67" s="15">
        <v>43361</v>
      </c>
      <c r="F67" s="76">
        <v>23</v>
      </c>
      <c r="G67">
        <v>257</v>
      </c>
      <c r="H67">
        <v>135.19999999999999</v>
      </c>
      <c r="I67">
        <f t="shared" si="6"/>
        <v>257</v>
      </c>
      <c r="J67" s="16">
        <f t="shared" si="7"/>
        <v>2.4185332950932121</v>
      </c>
      <c r="K67" s="17">
        <f t="shared" si="8"/>
        <v>2.1309766916056172</v>
      </c>
      <c r="L67" s="17"/>
      <c r="N67" s="15"/>
      <c r="O67">
        <v>465</v>
      </c>
      <c r="P67">
        <v>20180985</v>
      </c>
      <c r="Q67" t="s">
        <v>187</v>
      </c>
      <c r="R67">
        <v>4318</v>
      </c>
      <c r="S67">
        <v>6609</v>
      </c>
      <c r="T67">
        <v>60</v>
      </c>
      <c r="U67">
        <v>150</v>
      </c>
      <c r="V67">
        <v>261.27</v>
      </c>
    </row>
    <row r="68" spans="1:24" x14ac:dyDescent="0.25">
      <c r="A68">
        <v>20180985</v>
      </c>
      <c r="B68">
        <v>465</v>
      </c>
      <c r="C68">
        <v>4318</v>
      </c>
      <c r="D68">
        <v>6609</v>
      </c>
      <c r="E68" s="15">
        <v>43361</v>
      </c>
      <c r="F68" s="76">
        <v>24</v>
      </c>
      <c r="G68">
        <v>266</v>
      </c>
      <c r="H68">
        <v>142.80000000000001</v>
      </c>
      <c r="I68">
        <f t="shared" ref="I68:I71" si="9">G68</f>
        <v>266</v>
      </c>
      <c r="J68" s="16">
        <f t="shared" ref="J68:J71" si="10">LOG(I68*1.02)</f>
        <v>2.4334818083929846</v>
      </c>
      <c r="K68" s="17">
        <f t="shared" ref="K68:K71" si="11">LOG(H68)</f>
        <v>2.1547282074401557</v>
      </c>
      <c r="L68" s="17"/>
      <c r="N68" s="15"/>
      <c r="O68">
        <v>465</v>
      </c>
      <c r="P68">
        <v>20180986</v>
      </c>
      <c r="Q68" t="s">
        <v>187</v>
      </c>
      <c r="R68">
        <v>4318</v>
      </c>
      <c r="S68">
        <v>6609</v>
      </c>
      <c r="T68">
        <v>60</v>
      </c>
      <c r="U68">
        <v>214</v>
      </c>
      <c r="V68">
        <v>263.89999999999998</v>
      </c>
    </row>
    <row r="69" spans="1:24" x14ac:dyDescent="0.25">
      <c r="A69">
        <v>20180985</v>
      </c>
      <c r="B69">
        <v>465</v>
      </c>
      <c r="C69">
        <v>4318</v>
      </c>
      <c r="D69">
        <v>6609</v>
      </c>
      <c r="E69" s="15">
        <v>43361</v>
      </c>
      <c r="F69" s="76">
        <v>25</v>
      </c>
      <c r="G69">
        <v>263</v>
      </c>
      <c r="H69">
        <v>146.69999999999999</v>
      </c>
      <c r="I69">
        <f t="shared" si="9"/>
        <v>263</v>
      </c>
      <c r="J69" s="16">
        <f t="shared" si="10"/>
        <v>2.4285559202516755</v>
      </c>
      <c r="K69" s="17">
        <f t="shared" si="11"/>
        <v>2.1664301138432824</v>
      </c>
      <c r="L69" s="17"/>
      <c r="N69" s="15"/>
      <c r="O69">
        <v>465</v>
      </c>
      <c r="P69">
        <v>20180987</v>
      </c>
      <c r="Q69" t="s">
        <v>180</v>
      </c>
      <c r="R69">
        <v>4319.3599999999997</v>
      </c>
      <c r="S69">
        <v>6610.2</v>
      </c>
      <c r="T69">
        <v>16</v>
      </c>
      <c r="U69">
        <v>193</v>
      </c>
      <c r="V69">
        <v>250.78</v>
      </c>
    </row>
    <row r="70" spans="1:24" x14ac:dyDescent="0.25">
      <c r="A70">
        <v>20180985</v>
      </c>
      <c r="B70">
        <v>465</v>
      </c>
      <c r="C70">
        <v>4318</v>
      </c>
      <c r="D70">
        <v>6609</v>
      </c>
      <c r="E70" s="15">
        <v>43361</v>
      </c>
      <c r="F70" s="76">
        <v>26</v>
      </c>
      <c r="G70">
        <v>256</v>
      </c>
      <c r="H70">
        <v>150.30000000000001</v>
      </c>
      <c r="I70">
        <f t="shared" si="9"/>
        <v>256</v>
      </c>
      <c r="J70" s="16">
        <f t="shared" si="10"/>
        <v>2.4168401370737671</v>
      </c>
      <c r="K70" s="17">
        <f t="shared" si="11"/>
        <v>2.1769589805869081</v>
      </c>
      <c r="L70" s="17"/>
      <c r="N70" s="15"/>
      <c r="O70">
        <v>465</v>
      </c>
      <c r="P70">
        <v>20180988</v>
      </c>
      <c r="Q70" t="s">
        <v>180</v>
      </c>
      <c r="R70">
        <v>4319.3599999999997</v>
      </c>
      <c r="S70">
        <v>6610.2</v>
      </c>
      <c r="T70">
        <v>16</v>
      </c>
      <c r="U70">
        <v>203</v>
      </c>
      <c r="V70">
        <v>253.77</v>
      </c>
    </row>
    <row r="71" spans="1:24" x14ac:dyDescent="0.25">
      <c r="A71">
        <v>20180985</v>
      </c>
      <c r="B71">
        <v>465</v>
      </c>
      <c r="C71">
        <v>4318</v>
      </c>
      <c r="D71">
        <v>6609</v>
      </c>
      <c r="E71" s="15">
        <v>43361</v>
      </c>
      <c r="F71" s="76">
        <v>27</v>
      </c>
      <c r="G71">
        <v>258</v>
      </c>
      <c r="H71">
        <v>141.80000000000001</v>
      </c>
      <c r="I71">
        <f t="shared" si="9"/>
        <v>258</v>
      </c>
      <c r="J71" s="16">
        <f t="shared" si="10"/>
        <v>2.4202198777251476</v>
      </c>
      <c r="K71" s="17">
        <f t="shared" si="11"/>
        <v>2.1516762308470478</v>
      </c>
      <c r="L71" s="17"/>
      <c r="N71" s="15"/>
      <c r="O71">
        <v>465</v>
      </c>
      <c r="P71">
        <v>20180989</v>
      </c>
      <c r="Q71" t="s">
        <v>192</v>
      </c>
      <c r="R71">
        <v>4319</v>
      </c>
      <c r="S71">
        <v>6609.33</v>
      </c>
      <c r="T71">
        <v>62</v>
      </c>
      <c r="U71">
        <v>218</v>
      </c>
      <c r="V71">
        <v>262.02</v>
      </c>
    </row>
    <row r="72" spans="1:24" x14ac:dyDescent="0.25">
      <c r="A72">
        <v>20180985</v>
      </c>
      <c r="B72">
        <v>465</v>
      </c>
      <c r="C72">
        <v>4318</v>
      </c>
      <c r="D72">
        <v>6609</v>
      </c>
      <c r="E72" s="15">
        <v>43361</v>
      </c>
      <c r="F72" s="76">
        <v>28</v>
      </c>
      <c r="G72">
        <v>253</v>
      </c>
      <c r="H72">
        <v>136.6</v>
      </c>
      <c r="I72">
        <f t="shared" si="6"/>
        <v>253</v>
      </c>
      <c r="J72" s="16">
        <f t="shared" si="7"/>
        <v>2.4117206929377355</v>
      </c>
      <c r="K72" s="17">
        <f t="shared" si="8"/>
        <v>2.1354506993455136</v>
      </c>
      <c r="L72" s="17"/>
    </row>
    <row r="73" spans="1:24" x14ac:dyDescent="0.25">
      <c r="A73" s="2">
        <v>20180985</v>
      </c>
      <c r="B73" s="2">
        <v>465</v>
      </c>
      <c r="C73" s="2">
        <v>4318</v>
      </c>
      <c r="D73" s="2">
        <v>6609</v>
      </c>
      <c r="E73" s="69">
        <v>43361</v>
      </c>
      <c r="F73" s="72">
        <v>29</v>
      </c>
      <c r="G73" s="2">
        <v>261</v>
      </c>
      <c r="H73" s="2">
        <v>157.69999999999999</v>
      </c>
      <c r="I73">
        <f t="shared" si="6"/>
        <v>261</v>
      </c>
      <c r="J73" s="16">
        <f t="shared" si="7"/>
        <v>2.4252406791001984</v>
      </c>
      <c r="K73" s="17">
        <f t="shared" si="8"/>
        <v>2.197831693328903</v>
      </c>
      <c r="L73" s="17"/>
      <c r="N73" s="101" t="s">
        <v>138</v>
      </c>
      <c r="O73">
        <f>COUNT(O49:O72)</f>
        <v>23</v>
      </c>
      <c r="P73">
        <f>COUNT(P49:P72)</f>
        <v>23</v>
      </c>
      <c r="T73">
        <f>SUM(T49:T72)</f>
        <v>1256</v>
      </c>
      <c r="U73">
        <f>SUM(U49:U72)</f>
        <v>4289</v>
      </c>
    </row>
    <row r="74" spans="1:24" x14ac:dyDescent="0.25">
      <c r="A74" s="2">
        <v>20180985</v>
      </c>
      <c r="B74" s="2">
        <v>465</v>
      </c>
      <c r="C74" s="2">
        <v>4318</v>
      </c>
      <c r="D74" s="2">
        <v>6609</v>
      </c>
      <c r="E74" s="69">
        <v>43361</v>
      </c>
      <c r="F74" s="72">
        <v>30</v>
      </c>
      <c r="G74" s="2">
        <v>267</v>
      </c>
      <c r="H74" s="2">
        <v>161.1</v>
      </c>
      <c r="I74">
        <f t="shared" si="6"/>
        <v>267</v>
      </c>
      <c r="J74" s="16">
        <f t="shared" si="7"/>
        <v>2.4351114331264929</v>
      </c>
      <c r="K74" s="17">
        <f t="shared" si="8"/>
        <v>2.2070955404192181</v>
      </c>
      <c r="L74" s="17"/>
      <c r="N74" s="101"/>
    </row>
    <row r="75" spans="1:24" x14ac:dyDescent="0.25">
      <c r="A75" s="2">
        <v>20180985</v>
      </c>
      <c r="B75" s="2">
        <v>465</v>
      </c>
      <c r="C75" s="2">
        <v>4318</v>
      </c>
      <c r="D75" s="2">
        <v>6609</v>
      </c>
      <c r="E75" s="69">
        <v>43361</v>
      </c>
      <c r="F75" s="72">
        <v>31</v>
      </c>
      <c r="G75" s="2">
        <v>248</v>
      </c>
      <c r="H75" s="2">
        <v>120.5</v>
      </c>
      <c r="I75">
        <f t="shared" si="6"/>
        <v>248</v>
      </c>
      <c r="J75" s="16">
        <f t="shared" ref="J75:J87" si="12">LOG(I75*1.02)</f>
        <v>2.4030518525881339</v>
      </c>
      <c r="K75" s="17">
        <f t="shared" si="8"/>
        <v>2.0809870469108871</v>
      </c>
      <c r="L75" s="17"/>
      <c r="N75" s="100" t="s">
        <v>197</v>
      </c>
    </row>
    <row r="76" spans="1:24" x14ac:dyDescent="0.25">
      <c r="A76" s="2">
        <v>20180985</v>
      </c>
      <c r="B76" s="2">
        <v>465</v>
      </c>
      <c r="C76" s="2">
        <v>4318</v>
      </c>
      <c r="D76" s="2">
        <v>6609</v>
      </c>
      <c r="E76" s="69">
        <v>43361</v>
      </c>
      <c r="F76" s="72">
        <v>32</v>
      </c>
      <c r="G76" s="2">
        <v>270</v>
      </c>
      <c r="H76" s="2">
        <v>142.19999999999999</v>
      </c>
      <c r="I76">
        <f t="shared" si="6"/>
        <v>270</v>
      </c>
      <c r="J76" s="16">
        <f t="shared" si="12"/>
        <v>2.4399639359209049</v>
      </c>
      <c r="K76" s="17">
        <f t="shared" si="8"/>
        <v>2.1528995963937474</v>
      </c>
      <c r="L76" s="17"/>
      <c r="M76" s="110"/>
      <c r="N76" s="68" t="s">
        <v>198</v>
      </c>
      <c r="T76" t="s">
        <v>156</v>
      </c>
      <c r="U76" t="s">
        <v>157</v>
      </c>
      <c r="V76" t="s">
        <v>158</v>
      </c>
      <c r="W76" t="s">
        <v>157</v>
      </c>
      <c r="X76" t="s">
        <v>158</v>
      </c>
    </row>
    <row r="77" spans="1:24" x14ac:dyDescent="0.25">
      <c r="A77" s="2">
        <v>20180985</v>
      </c>
      <c r="B77" s="2">
        <v>465</v>
      </c>
      <c r="C77" s="2">
        <v>4318</v>
      </c>
      <c r="D77" s="2">
        <v>6609</v>
      </c>
      <c r="E77" s="69">
        <v>43361</v>
      </c>
      <c r="F77" s="72">
        <v>33</v>
      </c>
      <c r="G77" s="2">
        <v>251</v>
      </c>
      <c r="H77" s="2">
        <v>136.6</v>
      </c>
      <c r="I77">
        <f t="shared" si="6"/>
        <v>251</v>
      </c>
      <c r="J77" s="16">
        <f t="shared" si="12"/>
        <v>2.4082738932429555</v>
      </c>
      <c r="K77" s="17">
        <f t="shared" si="8"/>
        <v>2.1354506993455136</v>
      </c>
      <c r="L77" s="17"/>
      <c r="N77" t="s">
        <v>28</v>
      </c>
      <c r="O77" t="s">
        <v>25</v>
      </c>
      <c r="P77" t="s">
        <v>24</v>
      </c>
      <c r="Q77" t="s">
        <v>159</v>
      </c>
      <c r="R77" t="s">
        <v>26</v>
      </c>
      <c r="S77" t="s">
        <v>27</v>
      </c>
      <c r="T77" t="s">
        <v>160</v>
      </c>
      <c r="U77" t="s">
        <v>161</v>
      </c>
      <c r="V77" t="s">
        <v>161</v>
      </c>
      <c r="W77" t="s">
        <v>162</v>
      </c>
      <c r="X77" t="s">
        <v>162</v>
      </c>
    </row>
    <row r="78" spans="1:24" x14ac:dyDescent="0.25">
      <c r="A78" s="2">
        <v>20180985</v>
      </c>
      <c r="B78" s="2">
        <v>465</v>
      </c>
      <c r="C78" s="2">
        <v>4318</v>
      </c>
      <c r="D78" s="2">
        <v>6609</v>
      </c>
      <c r="E78" s="69">
        <v>43361</v>
      </c>
      <c r="F78" s="72">
        <v>34</v>
      </c>
      <c r="G78" s="2">
        <v>268</v>
      </c>
      <c r="H78" s="2">
        <v>166.3</v>
      </c>
      <c r="I78">
        <f t="shared" si="6"/>
        <v>268</v>
      </c>
      <c r="J78" s="16">
        <f t="shared" si="12"/>
        <v>2.4367349657907065</v>
      </c>
      <c r="K78" s="17">
        <f t="shared" si="8"/>
        <v>2.2208922492195193</v>
      </c>
      <c r="L78" s="17"/>
      <c r="N78" s="15">
        <v>43355</v>
      </c>
      <c r="O78">
        <v>465</v>
      </c>
      <c r="P78">
        <v>20180930</v>
      </c>
      <c r="Q78" t="s">
        <v>177</v>
      </c>
      <c r="R78">
        <v>4326.5</v>
      </c>
      <c r="S78">
        <v>6615</v>
      </c>
      <c r="T78">
        <v>20</v>
      </c>
      <c r="U78">
        <v>225</v>
      </c>
      <c r="V78">
        <v>285</v>
      </c>
      <c r="W78">
        <v>89.5</v>
      </c>
      <c r="X78">
        <v>185.6</v>
      </c>
    </row>
    <row r="79" spans="1:24" x14ac:dyDescent="0.25">
      <c r="A79" s="2">
        <v>20180985</v>
      </c>
      <c r="B79" s="2">
        <v>465</v>
      </c>
      <c r="C79" s="2">
        <v>4318</v>
      </c>
      <c r="D79" s="2">
        <v>6609</v>
      </c>
      <c r="E79" s="69">
        <v>43361</v>
      </c>
      <c r="F79" s="72">
        <v>35</v>
      </c>
      <c r="G79" s="2">
        <v>261</v>
      </c>
      <c r="H79" s="2">
        <v>158</v>
      </c>
      <c r="I79">
        <f t="shared" si="6"/>
        <v>261</v>
      </c>
      <c r="J79" s="16">
        <f t="shared" si="12"/>
        <v>2.4252406791001984</v>
      </c>
      <c r="K79" s="17">
        <f t="shared" si="8"/>
        <v>2.1986570869544226</v>
      </c>
      <c r="L79" s="17"/>
      <c r="N79" s="15">
        <v>43357</v>
      </c>
      <c r="O79">
        <v>465</v>
      </c>
      <c r="P79">
        <v>20180963</v>
      </c>
      <c r="Q79" t="s">
        <v>191</v>
      </c>
      <c r="R79">
        <v>4320</v>
      </c>
      <c r="S79">
        <v>6605.3</v>
      </c>
      <c r="T79">
        <v>21</v>
      </c>
      <c r="U79">
        <v>229</v>
      </c>
      <c r="V79">
        <v>292</v>
      </c>
      <c r="W79">
        <v>91.9</v>
      </c>
      <c r="X79">
        <v>196.5</v>
      </c>
    </row>
    <row r="80" spans="1:24" x14ac:dyDescent="0.25">
      <c r="A80" s="2">
        <v>20180985</v>
      </c>
      <c r="B80" s="2">
        <v>465</v>
      </c>
      <c r="C80" s="2">
        <v>4318</v>
      </c>
      <c r="D80" s="2">
        <v>6609</v>
      </c>
      <c r="E80" s="69">
        <v>43361</v>
      </c>
      <c r="F80" s="72">
        <v>36</v>
      </c>
      <c r="G80" s="2">
        <v>260</v>
      </c>
      <c r="H80" s="2">
        <v>147.80000000000001</v>
      </c>
      <c r="I80">
        <f t="shared" si="6"/>
        <v>260</v>
      </c>
      <c r="J80" s="16">
        <f t="shared" si="12"/>
        <v>2.4235735197327357</v>
      </c>
      <c r="K80" s="17">
        <f t="shared" si="8"/>
        <v>2.1696744340588068</v>
      </c>
      <c r="L80" s="17"/>
      <c r="N80" s="15">
        <v>43361</v>
      </c>
      <c r="O80">
        <v>465</v>
      </c>
      <c r="P80">
        <v>20180985</v>
      </c>
      <c r="Q80" t="s">
        <v>187</v>
      </c>
      <c r="R80">
        <v>4318</v>
      </c>
      <c r="S80">
        <v>6609</v>
      </c>
      <c r="T80">
        <v>50</v>
      </c>
      <c r="U80">
        <v>238</v>
      </c>
      <c r="V80">
        <v>297</v>
      </c>
      <c r="W80">
        <v>100.5</v>
      </c>
      <c r="X80">
        <v>209</v>
      </c>
    </row>
    <row r="81" spans="1:39" x14ac:dyDescent="0.25">
      <c r="A81" s="2">
        <v>20180985</v>
      </c>
      <c r="B81" s="2">
        <v>465</v>
      </c>
      <c r="C81" s="2">
        <v>4318</v>
      </c>
      <c r="D81" s="2">
        <v>6609</v>
      </c>
      <c r="E81" s="69">
        <v>43361</v>
      </c>
      <c r="F81" s="72">
        <v>37</v>
      </c>
      <c r="G81" s="2">
        <v>257</v>
      </c>
      <c r="H81" s="2">
        <v>156.19999999999999</v>
      </c>
      <c r="I81">
        <f t="shared" si="6"/>
        <v>257</v>
      </c>
      <c r="J81" s="16">
        <f t="shared" si="12"/>
        <v>2.4185332950932121</v>
      </c>
      <c r="K81" s="17">
        <f t="shared" si="8"/>
        <v>2.1936810295412816</v>
      </c>
      <c r="N81" s="15">
        <v>43361</v>
      </c>
      <c r="O81">
        <v>465</v>
      </c>
      <c r="P81">
        <v>20180987</v>
      </c>
      <c r="Q81" t="s">
        <v>180</v>
      </c>
      <c r="R81">
        <v>4319.3599999999997</v>
      </c>
      <c r="S81">
        <v>6610.2</v>
      </c>
      <c r="T81">
        <v>24</v>
      </c>
      <c r="U81">
        <v>213</v>
      </c>
      <c r="V81">
        <v>286</v>
      </c>
      <c r="W81">
        <v>75.599999999999994</v>
      </c>
      <c r="X81">
        <v>184.8</v>
      </c>
    </row>
    <row r="82" spans="1:39" x14ac:dyDescent="0.25">
      <c r="A82" s="2">
        <v>20180985</v>
      </c>
      <c r="B82" s="2">
        <v>465</v>
      </c>
      <c r="C82" s="2">
        <v>4318</v>
      </c>
      <c r="D82" s="2">
        <v>6609</v>
      </c>
      <c r="E82" s="69">
        <v>43361</v>
      </c>
      <c r="F82" s="72">
        <v>38</v>
      </c>
      <c r="G82" s="2">
        <v>269</v>
      </c>
      <c r="H82" s="2">
        <v>154.9</v>
      </c>
      <c r="I82">
        <f t="shared" si="6"/>
        <v>269</v>
      </c>
      <c r="J82" s="16">
        <f t="shared" si="12"/>
        <v>2.4383524517643256</v>
      </c>
      <c r="K82" s="17">
        <f t="shared" si="8"/>
        <v>2.1900514177592059</v>
      </c>
      <c r="N82" s="15">
        <v>43362</v>
      </c>
      <c r="O82">
        <v>465</v>
      </c>
      <c r="P82">
        <v>20180993</v>
      </c>
      <c r="Q82" t="s">
        <v>193</v>
      </c>
      <c r="R82">
        <v>4319</v>
      </c>
      <c r="S82">
        <v>6609</v>
      </c>
      <c r="T82">
        <v>24</v>
      </c>
      <c r="U82">
        <v>225</v>
      </c>
      <c r="V82">
        <v>298</v>
      </c>
      <c r="W82">
        <v>83.9</v>
      </c>
      <c r="X82">
        <v>214</v>
      </c>
    </row>
    <row r="83" spans="1:39" x14ac:dyDescent="0.25">
      <c r="A83" s="2">
        <v>20180985</v>
      </c>
      <c r="B83" s="2">
        <v>465</v>
      </c>
      <c r="C83" s="2">
        <v>4318</v>
      </c>
      <c r="D83" s="2">
        <v>6609</v>
      </c>
      <c r="E83" s="69">
        <v>43361</v>
      </c>
      <c r="F83" s="72">
        <v>39</v>
      </c>
      <c r="G83" s="2">
        <v>260</v>
      </c>
      <c r="H83" s="2">
        <v>137.19999999999999</v>
      </c>
      <c r="I83">
        <f t="shared" si="6"/>
        <v>260</v>
      </c>
      <c r="J83" s="16">
        <f t="shared" si="12"/>
        <v>2.4235735197327357</v>
      </c>
      <c r="K83" s="17">
        <f t="shared" si="8"/>
        <v>2.1373541113707328</v>
      </c>
      <c r="N83" s="15"/>
    </row>
    <row r="84" spans="1:39" x14ac:dyDescent="0.25">
      <c r="A84" s="2">
        <v>20180985</v>
      </c>
      <c r="B84" s="2">
        <v>465</v>
      </c>
      <c r="C84" s="2">
        <v>4318</v>
      </c>
      <c r="D84" s="2">
        <v>6609</v>
      </c>
      <c r="E84" s="69">
        <v>43361</v>
      </c>
      <c r="F84" s="72">
        <v>40</v>
      </c>
      <c r="G84" s="2">
        <v>245</v>
      </c>
      <c r="H84" s="2">
        <v>118.8</v>
      </c>
      <c r="I84">
        <f t="shared" si="6"/>
        <v>245</v>
      </c>
      <c r="J84" s="16">
        <f t="shared" si="12"/>
        <v>2.3977662561264501</v>
      </c>
      <c r="K84" s="17">
        <f t="shared" si="8"/>
        <v>2.0748164406451748</v>
      </c>
      <c r="N84" s="15"/>
    </row>
    <row r="85" spans="1:39" x14ac:dyDescent="0.25">
      <c r="A85" s="2">
        <v>20180985</v>
      </c>
      <c r="B85" s="2">
        <v>465</v>
      </c>
      <c r="C85" s="2">
        <v>4318</v>
      </c>
      <c r="D85" s="2">
        <v>6609</v>
      </c>
      <c r="E85" s="69">
        <v>43361</v>
      </c>
      <c r="F85" s="72">
        <v>41</v>
      </c>
      <c r="G85" s="2">
        <v>238</v>
      </c>
      <c r="H85" s="2">
        <v>100.5</v>
      </c>
      <c r="I85">
        <f t="shared" si="6"/>
        <v>238</v>
      </c>
      <c r="J85" s="16">
        <f t="shared" si="12"/>
        <v>2.3851771288184294</v>
      </c>
      <c r="K85" s="17">
        <f t="shared" si="8"/>
        <v>2.0021660617565078</v>
      </c>
      <c r="N85" s="15"/>
    </row>
    <row r="86" spans="1:39" x14ac:dyDescent="0.25">
      <c r="A86" s="2">
        <v>20180985</v>
      </c>
      <c r="B86" s="2">
        <v>465</v>
      </c>
      <c r="C86" s="2">
        <v>4318</v>
      </c>
      <c r="D86" s="2">
        <v>6609</v>
      </c>
      <c r="E86" s="69">
        <v>43361</v>
      </c>
      <c r="F86" s="72">
        <v>42</v>
      </c>
      <c r="G86" s="2">
        <v>246</v>
      </c>
      <c r="H86" s="2">
        <v>131.30000000000001</v>
      </c>
      <c r="I86">
        <f t="shared" si="6"/>
        <v>246</v>
      </c>
      <c r="J86" s="16">
        <f t="shared" si="12"/>
        <v>2.3995352788652968</v>
      </c>
      <c r="K86" s="17">
        <f t="shared" si="8"/>
        <v>2.1182647260894796</v>
      </c>
      <c r="N86" s="100"/>
    </row>
    <row r="87" spans="1:39" x14ac:dyDescent="0.25">
      <c r="A87" s="2">
        <v>20180985</v>
      </c>
      <c r="B87" s="2">
        <v>465</v>
      </c>
      <c r="C87" s="2">
        <v>4318</v>
      </c>
      <c r="D87" s="2">
        <v>6609</v>
      </c>
      <c r="E87" s="69">
        <v>43361</v>
      </c>
      <c r="F87" s="72">
        <v>43</v>
      </c>
      <c r="G87" s="2">
        <v>250</v>
      </c>
      <c r="H87" s="2">
        <v>132.9</v>
      </c>
      <c r="I87">
        <f t="shared" si="6"/>
        <v>250</v>
      </c>
      <c r="J87" s="16">
        <f t="shared" si="12"/>
        <v>2.406540180433955</v>
      </c>
      <c r="K87" s="17">
        <f t="shared" si="8"/>
        <v>2.1235249809427321</v>
      </c>
      <c r="N87" s="15"/>
      <c r="R87" s="26"/>
      <c r="S87" s="26"/>
    </row>
    <row r="88" spans="1:39" x14ac:dyDescent="0.25">
      <c r="A88" s="2">
        <v>20180985</v>
      </c>
      <c r="B88" s="2">
        <v>465</v>
      </c>
      <c r="C88" s="2">
        <v>4318</v>
      </c>
      <c r="D88" s="2">
        <v>6609</v>
      </c>
      <c r="E88" s="69">
        <v>43361</v>
      </c>
      <c r="F88" s="72">
        <v>44</v>
      </c>
      <c r="G88" s="2">
        <v>243</v>
      </c>
      <c r="H88" s="2">
        <v>122.6</v>
      </c>
      <c r="I88">
        <f t="shared" ref="I88:I119" si="13">G88</f>
        <v>243</v>
      </c>
      <c r="J88" s="16">
        <f t="shared" ref="J88:J119" si="14">LOG(I88*1.02)</f>
        <v>2.3942064453602296</v>
      </c>
      <c r="K88" s="17">
        <f t="shared" ref="K88:K119" si="15">LOG(H88)</f>
        <v>2.0884904701823963</v>
      </c>
      <c r="N88" s="15"/>
      <c r="O88">
        <f>COUNT(O78:O87)</f>
        <v>5</v>
      </c>
      <c r="T88">
        <f>SUM(T78:T87)</f>
        <v>139</v>
      </c>
    </row>
    <row r="89" spans="1:39" x14ac:dyDescent="0.25">
      <c r="A89" s="2">
        <v>20180985</v>
      </c>
      <c r="B89" s="2">
        <v>465</v>
      </c>
      <c r="C89" s="2">
        <v>4318</v>
      </c>
      <c r="D89" s="2">
        <v>6609</v>
      </c>
      <c r="E89" s="69">
        <v>43361</v>
      </c>
      <c r="F89" s="72">
        <v>45</v>
      </c>
      <c r="G89" s="2">
        <v>247</v>
      </c>
      <c r="H89" s="2">
        <v>138.5</v>
      </c>
      <c r="I89">
        <f t="shared" si="13"/>
        <v>247</v>
      </c>
      <c r="J89" s="16">
        <f t="shared" si="14"/>
        <v>2.4012971250215833</v>
      </c>
      <c r="K89" s="17">
        <f t="shared" si="15"/>
        <v>2.1414497734004674</v>
      </c>
    </row>
    <row r="90" spans="1:39" x14ac:dyDescent="0.25">
      <c r="A90" s="2">
        <v>20180985</v>
      </c>
      <c r="B90" s="2">
        <v>465</v>
      </c>
      <c r="C90" s="2">
        <v>4318</v>
      </c>
      <c r="D90" s="2">
        <v>6609</v>
      </c>
      <c r="E90" s="69">
        <v>43361</v>
      </c>
      <c r="F90" s="72">
        <v>46</v>
      </c>
      <c r="G90" s="2">
        <v>254</v>
      </c>
      <c r="H90" s="2">
        <v>138.9</v>
      </c>
      <c r="I90">
        <f t="shared" si="13"/>
        <v>254</v>
      </c>
      <c r="J90" s="16">
        <f t="shared" si="14"/>
        <v>2.4134338883818556</v>
      </c>
      <c r="K90" s="17">
        <f t="shared" si="15"/>
        <v>2.1427022457376155</v>
      </c>
      <c r="L90" s="17"/>
      <c r="X90" t="s">
        <v>96</v>
      </c>
      <c r="Y90" t="s">
        <v>97</v>
      </c>
      <c r="AA90" t="s">
        <v>98</v>
      </c>
      <c r="AE90" t="s">
        <v>99</v>
      </c>
      <c r="AF90" t="s">
        <v>100</v>
      </c>
      <c r="AG90" s="7" t="s">
        <v>101</v>
      </c>
      <c r="AH90" s="7" t="s">
        <v>102</v>
      </c>
      <c r="AI90" s="7" t="s">
        <v>102</v>
      </c>
      <c r="AJ90" s="6" t="s">
        <v>103</v>
      </c>
      <c r="AK90" s="4"/>
      <c r="AL90" s="4" t="s">
        <v>104</v>
      </c>
    </row>
    <row r="91" spans="1:39" x14ac:dyDescent="0.25">
      <c r="A91" s="2">
        <v>20180985</v>
      </c>
      <c r="B91" s="2">
        <v>465</v>
      </c>
      <c r="C91" s="2">
        <v>4318</v>
      </c>
      <c r="D91" s="2">
        <v>6609</v>
      </c>
      <c r="E91" s="69">
        <v>43361</v>
      </c>
      <c r="F91" s="72">
        <v>47</v>
      </c>
      <c r="G91" s="2">
        <v>253</v>
      </c>
      <c r="H91" s="2">
        <v>140.80000000000001</v>
      </c>
      <c r="I91">
        <f t="shared" si="13"/>
        <v>253</v>
      </c>
      <c r="J91" s="16">
        <f t="shared" si="14"/>
        <v>2.4117206929377355</v>
      </c>
      <c r="K91" s="17">
        <f t="shared" si="15"/>
        <v>2.1486026548060932</v>
      </c>
      <c r="L91" s="17" t="s">
        <v>105</v>
      </c>
      <c r="V91" t="s">
        <v>106</v>
      </c>
      <c r="W91" t="s">
        <v>106</v>
      </c>
      <c r="X91" t="s">
        <v>107</v>
      </c>
      <c r="Y91" t="s">
        <v>108</v>
      </c>
      <c r="Z91" t="s">
        <v>96</v>
      </c>
      <c r="AA91" t="s">
        <v>109</v>
      </c>
      <c r="AB91" t="s">
        <v>109</v>
      </c>
      <c r="AC91" s="7" t="s">
        <v>110</v>
      </c>
      <c r="AD91" s="7" t="s">
        <v>111</v>
      </c>
      <c r="AE91" s="7" t="s">
        <v>112</v>
      </c>
      <c r="AF91" s="7" t="s">
        <v>113</v>
      </c>
      <c r="AG91" t="s">
        <v>114</v>
      </c>
      <c r="AH91" t="s">
        <v>115</v>
      </c>
      <c r="AI91" t="s">
        <v>115</v>
      </c>
      <c r="AJ91" s="6" t="s">
        <v>116</v>
      </c>
      <c r="AK91" s="4" t="s">
        <v>117</v>
      </c>
      <c r="AL91" s="6" t="s">
        <v>118</v>
      </c>
    </row>
    <row r="92" spans="1:39" x14ac:dyDescent="0.25">
      <c r="A92" s="2">
        <v>20180985</v>
      </c>
      <c r="B92" s="2">
        <v>465</v>
      </c>
      <c r="C92" s="2">
        <v>4318</v>
      </c>
      <c r="D92" s="2">
        <v>6609</v>
      </c>
      <c r="E92" s="69">
        <v>43361</v>
      </c>
      <c r="F92" s="72">
        <v>48</v>
      </c>
      <c r="G92" s="2">
        <v>256</v>
      </c>
      <c r="H92" s="2">
        <v>141.80000000000001</v>
      </c>
      <c r="I92">
        <f t="shared" si="13"/>
        <v>256</v>
      </c>
      <c r="J92" s="16">
        <f t="shared" si="14"/>
        <v>2.4168401370737671</v>
      </c>
      <c r="K92" s="17">
        <f t="shared" si="15"/>
        <v>2.1516762308470478</v>
      </c>
      <c r="L92" s="70" t="s">
        <v>119</v>
      </c>
      <c r="M92" s="3" t="s">
        <v>178</v>
      </c>
      <c r="N92" s="3" t="s">
        <v>120</v>
      </c>
      <c r="O92" s="2" t="s">
        <v>121</v>
      </c>
      <c r="P92" s="2" t="s">
        <v>95</v>
      </c>
      <c r="Q92" s="2" t="s">
        <v>122</v>
      </c>
      <c r="R92" s="2" t="s">
        <v>123</v>
      </c>
      <c r="S92" s="2" t="s">
        <v>124</v>
      </c>
      <c r="T92" t="s">
        <v>125</v>
      </c>
      <c r="U92" t="s">
        <v>126</v>
      </c>
      <c r="V92" s="7" t="s">
        <v>121</v>
      </c>
      <c r="W92" s="7" t="s">
        <v>127</v>
      </c>
      <c r="X92" s="8" t="s">
        <v>128</v>
      </c>
      <c r="Y92" s="8"/>
      <c r="Z92" s="7" t="s">
        <v>129</v>
      </c>
      <c r="AA92" s="7" t="s">
        <v>130</v>
      </c>
      <c r="AB92" s="7" t="s">
        <v>131</v>
      </c>
      <c r="AE92" s="7">
        <f>10^(AB143/10)</f>
        <v>1.7815581406628901E-5</v>
      </c>
      <c r="AF92" s="7"/>
      <c r="AG92" s="12" t="s">
        <v>132</v>
      </c>
      <c r="AH92" t="s">
        <v>133</v>
      </c>
      <c r="AI92" t="s">
        <v>134</v>
      </c>
      <c r="AJ92" s="4"/>
      <c r="AK92" s="6" t="s">
        <v>135</v>
      </c>
      <c r="AL92" s="4" t="s">
        <v>136</v>
      </c>
      <c r="AM92" s="70" t="s">
        <v>119</v>
      </c>
    </row>
    <row r="93" spans="1:39" x14ac:dyDescent="0.25">
      <c r="A93" s="2">
        <v>20180985</v>
      </c>
      <c r="B93" s="2">
        <v>465</v>
      </c>
      <c r="C93" s="2">
        <v>4318</v>
      </c>
      <c r="D93" s="2">
        <v>6609</v>
      </c>
      <c r="E93" s="69">
        <v>43361</v>
      </c>
      <c r="F93" s="72">
        <v>49</v>
      </c>
      <c r="G93" s="2">
        <v>257</v>
      </c>
      <c r="H93" s="2">
        <v>135.30000000000001</v>
      </c>
      <c r="I93">
        <f t="shared" si="13"/>
        <v>257</v>
      </c>
      <c r="J93" s="16">
        <f t="shared" si="14"/>
        <v>2.4185332950932121</v>
      </c>
      <c r="K93" s="17">
        <f t="shared" si="15"/>
        <v>2.131297796597623</v>
      </c>
      <c r="L93" s="71">
        <v>150</v>
      </c>
      <c r="M93" s="3"/>
      <c r="N93" s="3"/>
      <c r="O93" s="2">
        <v>150</v>
      </c>
      <c r="P93" s="2">
        <v>0</v>
      </c>
      <c r="Q93" s="2">
        <f>N93</f>
        <v>0</v>
      </c>
      <c r="R93" s="72">
        <f>O93/10</f>
        <v>15</v>
      </c>
      <c r="S93" s="2">
        <f>O93*P93</f>
        <v>0</v>
      </c>
      <c r="T93">
        <f>R93*P93</f>
        <v>0</v>
      </c>
      <c r="U93" s="73">
        <f t="shared" ref="U93:U135" si="16">P93/P$137</f>
        <v>0</v>
      </c>
      <c r="V93" s="7">
        <f>O93+2.5</f>
        <v>152.5</v>
      </c>
      <c r="W93" s="74">
        <f>(10^($Q$4*(LOG(V93))+$Q$5))/1000</f>
        <v>2.518073316803008E-2</v>
      </c>
      <c r="X93" s="9">
        <f>(20*LOG(V93/10)-71.9)</f>
        <v>-48.234603126343913</v>
      </c>
      <c r="Y93" s="9">
        <f t="shared" ref="Y93:Y135" si="17">(20*LOG(V93/10)-71.9)-10*LOG(W93)</f>
        <v>-32.245286836085491</v>
      </c>
      <c r="Z93">
        <f t="shared" ref="Z93:Z135" si="18">10^(X93/10)</f>
        <v>1.5015496163987171E-5</v>
      </c>
      <c r="AA93" s="2">
        <f t="shared" ref="AA93:AA135" si="19">P93</f>
        <v>0</v>
      </c>
      <c r="AB93" s="75">
        <f>AA93/AA$137</f>
        <v>0</v>
      </c>
      <c r="AC93">
        <f t="shared" ref="AC93:AC99" si="20">Z93*AA93</f>
        <v>0</v>
      </c>
      <c r="AD93" s="75">
        <f t="shared" ref="AD93:AD99" si="21">AC93/AC$137</f>
        <v>0</v>
      </c>
      <c r="AJ93" s="4"/>
      <c r="AK93" s="4"/>
      <c r="AL93" s="4"/>
      <c r="AM93" s="71">
        <v>150</v>
      </c>
    </row>
    <row r="94" spans="1:39" x14ac:dyDescent="0.25">
      <c r="A94" s="2">
        <v>20180985</v>
      </c>
      <c r="B94" s="2">
        <v>465</v>
      </c>
      <c r="C94" s="2">
        <v>4318</v>
      </c>
      <c r="D94" s="2">
        <v>6609</v>
      </c>
      <c r="E94" s="69">
        <v>43361</v>
      </c>
      <c r="F94" s="72">
        <v>50</v>
      </c>
      <c r="G94" s="2">
        <v>254</v>
      </c>
      <c r="H94" s="2">
        <v>141.9</v>
      </c>
      <c r="I94">
        <f t="shared" si="13"/>
        <v>254</v>
      </c>
      <c r="J94" s="16">
        <f t="shared" si="14"/>
        <v>2.4134338883818556</v>
      </c>
      <c r="K94" s="17">
        <f t="shared" si="15"/>
        <v>2.1519823954574742</v>
      </c>
      <c r="L94" s="71">
        <v>155</v>
      </c>
      <c r="M94" s="3"/>
      <c r="N94" s="3"/>
      <c r="O94" s="2">
        <v>155</v>
      </c>
      <c r="P94" s="2">
        <f>M94</f>
        <v>0</v>
      </c>
      <c r="Q94" s="2">
        <f>N94</f>
        <v>0</v>
      </c>
      <c r="R94" s="72">
        <f>O94/10</f>
        <v>15.5</v>
      </c>
      <c r="S94" s="2">
        <f>O94*P94</f>
        <v>0</v>
      </c>
      <c r="T94">
        <f>R94*P94</f>
        <v>0</v>
      </c>
      <c r="U94" s="73">
        <f t="shared" si="16"/>
        <v>0</v>
      </c>
      <c r="V94" s="7">
        <f>O94+2.5</f>
        <v>157.5</v>
      </c>
      <c r="W94" s="74">
        <f>(10^($Q$4*(LOG(V94))+$Q$5))/1000</f>
        <v>2.7839460562241191E-2</v>
      </c>
      <c r="X94" s="9">
        <f>(20*LOG(V94/10)-71.9)</f>
        <v>-47.954388837487613</v>
      </c>
      <c r="Y94" s="9">
        <f t="shared" si="17"/>
        <v>-32.400996995611472</v>
      </c>
      <c r="Z94">
        <f t="shared" si="18"/>
        <v>1.6016260218990904E-5</v>
      </c>
      <c r="AA94" s="2">
        <f t="shared" si="19"/>
        <v>0</v>
      </c>
      <c r="AB94" s="75">
        <f>AA94/AA$137</f>
        <v>0</v>
      </c>
      <c r="AC94">
        <f t="shared" si="20"/>
        <v>0</v>
      </c>
      <c r="AD94" s="75">
        <f t="shared" si="21"/>
        <v>0</v>
      </c>
      <c r="AJ94" s="4"/>
      <c r="AK94" s="4"/>
      <c r="AL94" s="4"/>
      <c r="AM94" s="71">
        <v>155</v>
      </c>
    </row>
    <row r="95" spans="1:39" x14ac:dyDescent="0.25">
      <c r="A95" s="2">
        <v>20180987</v>
      </c>
      <c r="B95" s="2">
        <v>465</v>
      </c>
      <c r="C95" s="2">
        <v>4319.3599999999997</v>
      </c>
      <c r="D95" s="2">
        <v>6610.2</v>
      </c>
      <c r="E95" s="69">
        <v>43361</v>
      </c>
      <c r="F95" s="72">
        <v>1</v>
      </c>
      <c r="G95" s="2">
        <v>213</v>
      </c>
      <c r="H95" s="2">
        <v>77.8</v>
      </c>
      <c r="I95">
        <f t="shared" si="13"/>
        <v>213</v>
      </c>
      <c r="J95" s="16">
        <f t="shared" si="14"/>
        <v>2.3369797752006551</v>
      </c>
      <c r="K95" s="17">
        <f t="shared" si="15"/>
        <v>1.890979596989689</v>
      </c>
      <c r="L95" s="71">
        <v>160</v>
      </c>
      <c r="M95" s="3"/>
      <c r="N95" s="3"/>
      <c r="O95" s="2">
        <v>160</v>
      </c>
      <c r="P95" s="2">
        <f>M95</f>
        <v>0</v>
      </c>
      <c r="Q95" s="2">
        <f>N95</f>
        <v>0</v>
      </c>
      <c r="R95" s="72">
        <f>O95/10</f>
        <v>16</v>
      </c>
      <c r="S95" s="2">
        <f>O95*P95</f>
        <v>0</v>
      </c>
      <c r="T95">
        <f>R95*P95</f>
        <v>0</v>
      </c>
      <c r="U95" s="73">
        <f t="shared" si="16"/>
        <v>0</v>
      </c>
      <c r="V95" s="7">
        <f>O95+2.5</f>
        <v>162.5</v>
      </c>
      <c r="W95" s="74">
        <f>(10^($Q$4*(LOG(V95))+$Q$5))/1000</f>
        <v>3.0682502014338614E-2</v>
      </c>
      <c r="X95" s="9">
        <f>(20*LOG(V95/10)-71.9)</f>
        <v>-47.682932693702142</v>
      </c>
      <c r="Y95" s="9">
        <f t="shared" si="17"/>
        <v>-32.551840407721798</v>
      </c>
      <c r="Z95">
        <f t="shared" si="18"/>
        <v>1.7049306985446346E-5</v>
      </c>
      <c r="AA95" s="2">
        <f t="shared" si="19"/>
        <v>0</v>
      </c>
      <c r="AB95" s="75">
        <f>AA95/AA$137</f>
        <v>0</v>
      </c>
      <c r="AC95">
        <f t="shared" si="20"/>
        <v>0</v>
      </c>
      <c r="AD95" s="75">
        <f t="shared" si="21"/>
        <v>0</v>
      </c>
      <c r="AJ95" s="4"/>
      <c r="AK95" s="4"/>
      <c r="AL95" s="4"/>
      <c r="AM95" s="71">
        <v>160</v>
      </c>
    </row>
    <row r="96" spans="1:39" x14ac:dyDescent="0.25">
      <c r="A96" s="2">
        <v>20180987</v>
      </c>
      <c r="B96" s="2">
        <v>465</v>
      </c>
      <c r="C96" s="2">
        <v>4319.3599999999997</v>
      </c>
      <c r="D96" s="2">
        <v>6610.2</v>
      </c>
      <c r="E96" s="69">
        <v>43361</v>
      </c>
      <c r="F96" s="72">
        <v>2</v>
      </c>
      <c r="G96" s="2">
        <v>223</v>
      </c>
      <c r="H96" s="2">
        <v>86.3</v>
      </c>
      <c r="I96">
        <f t="shared" si="13"/>
        <v>223</v>
      </c>
      <c r="J96" s="16">
        <f t="shared" si="14"/>
        <v>2.3569050348100782</v>
      </c>
      <c r="K96" s="17">
        <f t="shared" si="15"/>
        <v>1.9360107957152095</v>
      </c>
      <c r="L96" s="71">
        <v>165</v>
      </c>
      <c r="M96" s="3"/>
      <c r="N96" s="3"/>
      <c r="O96" s="2">
        <v>165</v>
      </c>
      <c r="P96" s="2">
        <f>M96</f>
        <v>0</v>
      </c>
      <c r="Q96" s="2">
        <f>N96</f>
        <v>0</v>
      </c>
      <c r="R96" s="72">
        <f>O96/10</f>
        <v>16.5</v>
      </c>
      <c r="S96" s="2">
        <f>O96*P96</f>
        <v>0</v>
      </c>
      <c r="T96">
        <f>R96*P96</f>
        <v>0</v>
      </c>
      <c r="U96" s="73">
        <f t="shared" si="16"/>
        <v>0</v>
      </c>
      <c r="V96" s="7">
        <f>O96+2.5</f>
        <v>167.5</v>
      </c>
      <c r="W96" s="74">
        <f>(10^($Q$4*(LOG(V96))+$Q$5))/1000</f>
        <v>3.3716371655263026E-2</v>
      </c>
      <c r="X96" s="9">
        <f>(20*LOG(V96/10)-71.9)</f>
        <v>-47.419703772542725</v>
      </c>
      <c r="Y96" s="9">
        <f t="shared" si="17"/>
        <v>-32.698112096695539</v>
      </c>
      <c r="Z96">
        <f t="shared" si="18"/>
        <v>1.8114636463353524E-5</v>
      </c>
      <c r="AA96" s="2">
        <f t="shared" si="19"/>
        <v>0</v>
      </c>
      <c r="AB96" s="75">
        <f>AA96/AA$137</f>
        <v>0</v>
      </c>
      <c r="AC96">
        <f t="shared" si="20"/>
        <v>0</v>
      </c>
      <c r="AD96" s="75">
        <f t="shared" si="21"/>
        <v>0</v>
      </c>
      <c r="AJ96" s="4"/>
      <c r="AK96" s="4"/>
      <c r="AL96" s="4"/>
      <c r="AM96" s="71">
        <v>165</v>
      </c>
    </row>
    <row r="97" spans="1:42" x14ac:dyDescent="0.25">
      <c r="A97" s="2">
        <v>20180987</v>
      </c>
      <c r="B97" s="2">
        <v>465</v>
      </c>
      <c r="C97" s="2">
        <v>4319.3599999999997</v>
      </c>
      <c r="D97" s="2">
        <v>6610.2</v>
      </c>
      <c r="E97" s="69">
        <v>43361</v>
      </c>
      <c r="F97" s="72">
        <v>3</v>
      </c>
      <c r="G97" s="2">
        <v>247</v>
      </c>
      <c r="H97" s="2">
        <v>124.6</v>
      </c>
      <c r="I97">
        <f t="shared" si="13"/>
        <v>247</v>
      </c>
      <c r="J97" s="16">
        <f t="shared" si="14"/>
        <v>2.4012971250215833</v>
      </c>
      <c r="K97" s="17">
        <f t="shared" si="15"/>
        <v>2.095518042323151</v>
      </c>
      <c r="L97">
        <v>170</v>
      </c>
      <c r="O97" s="2">
        <v>170</v>
      </c>
      <c r="P97" s="2">
        <f t="shared" ref="P97:P135" si="22">M97</f>
        <v>0</v>
      </c>
      <c r="Q97" s="2">
        <f t="shared" ref="Q97:Q135" si="23">N97</f>
        <v>0</v>
      </c>
      <c r="R97" s="72">
        <f t="shared" ref="R97:R135" si="24">O97/10</f>
        <v>17</v>
      </c>
      <c r="S97" s="2">
        <f t="shared" ref="S97:S135" si="25">O97*P97</f>
        <v>0</v>
      </c>
      <c r="T97">
        <f t="shared" ref="T97:T135" si="26">R97*P97</f>
        <v>0</v>
      </c>
      <c r="U97" s="73">
        <f t="shared" si="16"/>
        <v>0</v>
      </c>
      <c r="V97" s="7">
        <f t="shared" ref="V97:V135" si="27">O97+2.5</f>
        <v>172.5</v>
      </c>
      <c r="W97" s="74">
        <f t="shared" ref="W97:W135" si="28">(10^($Q$4*(LOG(V97))+$Q$5))/1000</f>
        <v>3.6947605982122739E-2</v>
      </c>
      <c r="X97" s="9">
        <f t="shared" ref="X97:X135" si="29">(20*LOG(V97/10)-71.9)</f>
        <v>-47.164218011814143</v>
      </c>
      <c r="Y97" s="9">
        <f t="shared" si="17"/>
        <v>-32.840081047394065</v>
      </c>
      <c r="Z97">
        <f t="shared" si="18"/>
        <v>1.9212248652712459E-5</v>
      </c>
      <c r="AA97" s="2">
        <f t="shared" si="19"/>
        <v>0</v>
      </c>
      <c r="AB97" s="75">
        <f t="shared" ref="AB97:AB135" si="30">AA97/AA$137</f>
        <v>0</v>
      </c>
      <c r="AC97">
        <f t="shared" si="20"/>
        <v>0</v>
      </c>
      <c r="AD97" s="75">
        <f t="shared" si="21"/>
        <v>0</v>
      </c>
      <c r="AE97">
        <f t="shared" ref="AE97:AE106" si="31">AD97*AE$92</f>
        <v>0</v>
      </c>
      <c r="AJ97" s="4"/>
      <c r="AK97" s="4"/>
      <c r="AL97" s="4">
        <f t="shared" ref="AL97:AL107" si="32">AJ97*AA$143*1000</f>
        <v>0</v>
      </c>
      <c r="AM97" s="71">
        <v>170</v>
      </c>
    </row>
    <row r="98" spans="1:42" x14ac:dyDescent="0.25">
      <c r="A98" s="2">
        <v>20180987</v>
      </c>
      <c r="B98" s="2">
        <v>465</v>
      </c>
      <c r="C98" s="2">
        <v>4319.3599999999997</v>
      </c>
      <c r="D98" s="2">
        <v>6610.2</v>
      </c>
      <c r="E98" s="69">
        <v>43361</v>
      </c>
      <c r="F98" s="72">
        <v>4</v>
      </c>
      <c r="G98" s="2">
        <v>233</v>
      </c>
      <c r="H98" s="2">
        <v>103.6</v>
      </c>
      <c r="I98">
        <f t="shared" si="13"/>
        <v>233</v>
      </c>
      <c r="J98" s="16">
        <f t="shared" si="14"/>
        <v>2.3759560927879364</v>
      </c>
      <c r="K98" s="17">
        <f t="shared" si="15"/>
        <v>2.0153597554092144</v>
      </c>
      <c r="L98">
        <v>175</v>
      </c>
      <c r="O98" s="2">
        <v>175</v>
      </c>
      <c r="P98" s="2">
        <f t="shared" si="22"/>
        <v>0</v>
      </c>
      <c r="Q98" s="2">
        <f t="shared" si="23"/>
        <v>0</v>
      </c>
      <c r="R98" s="72">
        <f t="shared" si="24"/>
        <v>17.5</v>
      </c>
      <c r="S98" s="2">
        <f t="shared" si="25"/>
        <v>0</v>
      </c>
      <c r="T98">
        <f t="shared" si="26"/>
        <v>0</v>
      </c>
      <c r="U98" s="73">
        <f t="shared" si="16"/>
        <v>0</v>
      </c>
      <c r="V98" s="7">
        <f t="shared" si="27"/>
        <v>177.5</v>
      </c>
      <c r="W98" s="74">
        <f t="shared" si="28"/>
        <v>4.0382763263562077E-2</v>
      </c>
      <c r="X98" s="9">
        <f t="shared" si="29"/>
        <v>-46.91603285217775</v>
      </c>
      <c r="Y98" s="9">
        <f t="shared" si="17"/>
        <v>-32.977993182270211</v>
      </c>
      <c r="Z98">
        <f t="shared" si="18"/>
        <v>2.0342143553523028E-5</v>
      </c>
      <c r="AA98" s="2">
        <f t="shared" si="19"/>
        <v>0</v>
      </c>
      <c r="AB98" s="75">
        <f t="shared" si="30"/>
        <v>0</v>
      </c>
      <c r="AC98">
        <f t="shared" si="20"/>
        <v>0</v>
      </c>
      <c r="AD98" s="75">
        <f t="shared" si="21"/>
        <v>0</v>
      </c>
      <c r="AE98">
        <f t="shared" si="31"/>
        <v>0</v>
      </c>
      <c r="AJ98" s="4"/>
      <c r="AK98" s="4"/>
      <c r="AL98" s="4">
        <f t="shared" si="32"/>
        <v>0</v>
      </c>
      <c r="AM98" s="71">
        <v>175</v>
      </c>
    </row>
    <row r="99" spans="1:42" x14ac:dyDescent="0.25">
      <c r="A99" s="2">
        <v>20180987</v>
      </c>
      <c r="B99" s="2">
        <v>465</v>
      </c>
      <c r="C99" s="2">
        <v>4319.3599999999997</v>
      </c>
      <c r="D99" s="2">
        <v>6610.2</v>
      </c>
      <c r="E99" s="69">
        <v>43361</v>
      </c>
      <c r="F99" s="72">
        <v>5</v>
      </c>
      <c r="G99" s="2">
        <v>243</v>
      </c>
      <c r="H99" s="2">
        <v>103.8</v>
      </c>
      <c r="I99">
        <f t="shared" si="13"/>
        <v>243</v>
      </c>
      <c r="J99" s="16">
        <f t="shared" si="14"/>
        <v>2.3942064453602296</v>
      </c>
      <c r="K99" s="17">
        <f t="shared" si="15"/>
        <v>2.0161973535124389</v>
      </c>
      <c r="L99">
        <v>180</v>
      </c>
      <c r="O99" s="2">
        <v>180</v>
      </c>
      <c r="P99" s="2">
        <f t="shared" si="22"/>
        <v>0</v>
      </c>
      <c r="Q99" s="2">
        <f t="shared" si="23"/>
        <v>0</v>
      </c>
      <c r="R99" s="72">
        <f t="shared" si="24"/>
        <v>18</v>
      </c>
      <c r="S99" s="2">
        <f t="shared" si="25"/>
        <v>0</v>
      </c>
      <c r="T99">
        <f t="shared" si="26"/>
        <v>0</v>
      </c>
      <c r="U99" s="73">
        <f t="shared" si="16"/>
        <v>0</v>
      </c>
      <c r="V99" s="7">
        <f t="shared" si="27"/>
        <v>182.5</v>
      </c>
      <c r="W99" s="74">
        <f t="shared" si="28"/>
        <v>4.4028422977762674E-2</v>
      </c>
      <c r="X99" s="9">
        <f t="shared" si="29"/>
        <v>-46.674742624150134</v>
      </c>
      <c r="Y99" s="9">
        <f t="shared" si="17"/>
        <v>-33.112073924731945</v>
      </c>
      <c r="Z99">
        <f t="shared" si="18"/>
        <v>2.150432116578543E-5</v>
      </c>
      <c r="AA99" s="2">
        <f t="shared" si="19"/>
        <v>0</v>
      </c>
      <c r="AB99" s="75">
        <f t="shared" si="30"/>
        <v>0</v>
      </c>
      <c r="AC99">
        <f t="shared" si="20"/>
        <v>0</v>
      </c>
      <c r="AD99" s="75">
        <f t="shared" si="21"/>
        <v>0</v>
      </c>
      <c r="AE99">
        <f t="shared" si="31"/>
        <v>0</v>
      </c>
      <c r="AJ99" s="4"/>
      <c r="AK99" s="4"/>
      <c r="AL99" s="4">
        <f t="shared" si="32"/>
        <v>0</v>
      </c>
      <c r="AM99" s="71">
        <v>180</v>
      </c>
    </row>
    <row r="100" spans="1:42" x14ac:dyDescent="0.25">
      <c r="A100" s="2">
        <v>20180987</v>
      </c>
      <c r="B100" s="2">
        <v>465</v>
      </c>
      <c r="C100" s="2">
        <v>4319.3599999999997</v>
      </c>
      <c r="D100" s="2">
        <v>6610.2</v>
      </c>
      <c r="E100" s="69">
        <v>43361</v>
      </c>
      <c r="F100" s="72">
        <v>6</v>
      </c>
      <c r="G100" s="2">
        <v>252</v>
      </c>
      <c r="H100" s="2">
        <v>122</v>
      </c>
      <c r="I100">
        <f t="shared" si="13"/>
        <v>252</v>
      </c>
      <c r="J100" s="16">
        <f t="shared" si="14"/>
        <v>2.4100007125434617</v>
      </c>
      <c r="K100" s="17">
        <f t="shared" si="15"/>
        <v>2.0863598306747484</v>
      </c>
      <c r="L100">
        <v>185</v>
      </c>
      <c r="O100" s="2">
        <v>185</v>
      </c>
      <c r="P100" s="2">
        <f t="shared" si="22"/>
        <v>0</v>
      </c>
      <c r="Q100" s="2">
        <f t="shared" si="23"/>
        <v>0</v>
      </c>
      <c r="R100" s="72">
        <f t="shared" si="24"/>
        <v>18.5</v>
      </c>
      <c r="S100" s="2">
        <f t="shared" si="25"/>
        <v>0</v>
      </c>
      <c r="T100">
        <f t="shared" si="26"/>
        <v>0</v>
      </c>
      <c r="U100" s="73">
        <f t="shared" si="16"/>
        <v>0</v>
      </c>
      <c r="V100" s="7">
        <f t="shared" si="27"/>
        <v>187.5</v>
      </c>
      <c r="W100" s="74">
        <f t="shared" si="28"/>
        <v>4.7891185280415548E-2</v>
      </c>
      <c r="X100" s="9">
        <f t="shared" si="29"/>
        <v>-46.439974558725254</v>
      </c>
      <c r="Y100" s="9">
        <f t="shared" si="17"/>
        <v>-33.242530415969853</v>
      </c>
      <c r="Z100">
        <f t="shared" si="18"/>
        <v>2.2698781489499573E-5</v>
      </c>
      <c r="AA100" s="2">
        <f t="shared" si="19"/>
        <v>0</v>
      </c>
      <c r="AB100" s="75">
        <f t="shared" si="30"/>
        <v>0</v>
      </c>
      <c r="AC100">
        <f t="shared" ref="AC100:AC135" si="33">Z100*AA100</f>
        <v>0</v>
      </c>
      <c r="AD100" s="75">
        <f t="shared" ref="AD100:AD135" si="34">AC100/AC$137</f>
        <v>0</v>
      </c>
      <c r="AE100">
        <f t="shared" si="31"/>
        <v>0</v>
      </c>
      <c r="AJ100" s="4"/>
      <c r="AK100" s="4"/>
      <c r="AL100" s="4">
        <f t="shared" si="32"/>
        <v>0</v>
      </c>
      <c r="AM100" s="71">
        <v>185</v>
      </c>
    </row>
    <row r="101" spans="1:42" x14ac:dyDescent="0.25">
      <c r="A101" s="2">
        <v>20180987</v>
      </c>
      <c r="B101" s="2">
        <v>465</v>
      </c>
      <c r="C101" s="2">
        <v>4319.3599999999997</v>
      </c>
      <c r="D101" s="2">
        <v>6610.2</v>
      </c>
      <c r="E101" s="69">
        <v>43361</v>
      </c>
      <c r="F101" s="72">
        <v>7</v>
      </c>
      <c r="G101" s="2">
        <v>238</v>
      </c>
      <c r="H101" s="2">
        <v>105.4</v>
      </c>
      <c r="I101">
        <f t="shared" si="13"/>
        <v>238</v>
      </c>
      <c r="J101" s="16">
        <f t="shared" si="14"/>
        <v>2.3851771288184294</v>
      </c>
      <c r="K101" s="17">
        <f t="shared" si="15"/>
        <v>2.022840610876528</v>
      </c>
      <c r="L101">
        <v>190</v>
      </c>
      <c r="O101" s="2">
        <v>190</v>
      </c>
      <c r="P101" s="2">
        <f t="shared" si="22"/>
        <v>0</v>
      </c>
      <c r="Q101" s="2">
        <f t="shared" si="23"/>
        <v>0</v>
      </c>
      <c r="R101" s="72">
        <f t="shared" si="24"/>
        <v>19</v>
      </c>
      <c r="S101" s="2">
        <f t="shared" si="25"/>
        <v>0</v>
      </c>
      <c r="T101">
        <f t="shared" si="26"/>
        <v>0</v>
      </c>
      <c r="U101" s="73">
        <f t="shared" si="16"/>
        <v>0</v>
      </c>
      <c r="V101" s="7">
        <f t="shared" si="27"/>
        <v>192.5</v>
      </c>
      <c r="W101" s="74">
        <f t="shared" si="28"/>
        <v>5.1977670500284547E-2</v>
      </c>
      <c r="X101" s="9">
        <f t="shared" si="29"/>
        <v>-46.21138532310961</v>
      </c>
      <c r="Y101" s="9">
        <f t="shared" si="17"/>
        <v>-33.369553439988046</v>
      </c>
      <c r="Z101">
        <f t="shared" si="18"/>
        <v>2.3925524524665444E-5</v>
      </c>
      <c r="AA101" s="2">
        <f t="shared" si="19"/>
        <v>0</v>
      </c>
      <c r="AB101" s="75">
        <f t="shared" si="30"/>
        <v>0</v>
      </c>
      <c r="AC101">
        <f t="shared" si="33"/>
        <v>0</v>
      </c>
      <c r="AD101" s="75">
        <f t="shared" si="34"/>
        <v>0</v>
      </c>
      <c r="AE101">
        <f t="shared" si="31"/>
        <v>0</v>
      </c>
      <c r="AJ101" s="4"/>
      <c r="AK101" s="4"/>
      <c r="AL101" s="4">
        <f t="shared" si="32"/>
        <v>0</v>
      </c>
      <c r="AM101" s="71">
        <v>190</v>
      </c>
    </row>
    <row r="102" spans="1:42" x14ac:dyDescent="0.25">
      <c r="A102" s="2">
        <v>20180987</v>
      </c>
      <c r="B102" s="2">
        <v>465</v>
      </c>
      <c r="C102" s="2">
        <v>4319.3599999999997</v>
      </c>
      <c r="D102" s="2">
        <v>6610.2</v>
      </c>
      <c r="E102" s="69">
        <v>43361</v>
      </c>
      <c r="F102" s="72">
        <v>8</v>
      </c>
      <c r="G102" s="2">
        <v>251</v>
      </c>
      <c r="H102" s="2">
        <v>134.19999999999999</v>
      </c>
      <c r="I102">
        <f t="shared" si="13"/>
        <v>251</v>
      </c>
      <c r="J102" s="16">
        <f t="shared" si="14"/>
        <v>2.4082738932429555</v>
      </c>
      <c r="K102" s="17">
        <f t="shared" si="15"/>
        <v>2.1277525158329733</v>
      </c>
      <c r="L102">
        <v>195</v>
      </c>
      <c r="O102" s="2">
        <v>195</v>
      </c>
      <c r="P102" s="2">
        <f t="shared" si="22"/>
        <v>0</v>
      </c>
      <c r="Q102" s="2">
        <f t="shared" si="23"/>
        <v>0</v>
      </c>
      <c r="R102" s="72">
        <f t="shared" si="24"/>
        <v>19.5</v>
      </c>
      <c r="S102" s="2">
        <f t="shared" si="25"/>
        <v>0</v>
      </c>
      <c r="T102">
        <f t="shared" si="26"/>
        <v>0</v>
      </c>
      <c r="U102" s="73">
        <f t="shared" si="16"/>
        <v>0</v>
      </c>
      <c r="V102" s="7">
        <f t="shared" si="27"/>
        <v>197.5</v>
      </c>
      <c r="W102" s="74">
        <f t="shared" si="28"/>
        <v>5.6294518660231413E-2</v>
      </c>
      <c r="X102" s="9">
        <f t="shared" si="29"/>
        <v>-45.988658000750419</v>
      </c>
      <c r="Y102" s="9">
        <f t="shared" si="17"/>
        <v>-33.493319101749606</v>
      </c>
      <c r="Z102">
        <f t="shared" si="18"/>
        <v>2.5184550271283009E-5</v>
      </c>
      <c r="AA102" s="2">
        <f t="shared" si="19"/>
        <v>0</v>
      </c>
      <c r="AB102" s="75">
        <f t="shared" si="30"/>
        <v>0</v>
      </c>
      <c r="AC102">
        <f t="shared" si="33"/>
        <v>0</v>
      </c>
      <c r="AD102" s="75">
        <f t="shared" si="34"/>
        <v>0</v>
      </c>
      <c r="AE102">
        <f t="shared" si="31"/>
        <v>0</v>
      </c>
      <c r="AJ102" s="4"/>
      <c r="AK102" s="4"/>
      <c r="AL102" s="4">
        <f t="shared" si="32"/>
        <v>0</v>
      </c>
      <c r="AM102" s="71">
        <v>195</v>
      </c>
      <c r="AN102" t="s">
        <v>189</v>
      </c>
      <c r="AO102" t="s">
        <v>3</v>
      </c>
    </row>
    <row r="103" spans="1:42" x14ac:dyDescent="0.25">
      <c r="A103" s="2">
        <v>20180987</v>
      </c>
      <c r="B103" s="2">
        <v>465</v>
      </c>
      <c r="C103" s="2">
        <v>4319.3599999999997</v>
      </c>
      <c r="D103" s="2">
        <v>6610.2</v>
      </c>
      <c r="E103" s="69">
        <v>43361</v>
      </c>
      <c r="F103" s="72">
        <v>9</v>
      </c>
      <c r="G103" s="2">
        <v>245</v>
      </c>
      <c r="H103" s="2">
        <v>122.1</v>
      </c>
      <c r="I103">
        <f t="shared" si="13"/>
        <v>245</v>
      </c>
      <c r="J103" s="16">
        <f t="shared" si="14"/>
        <v>2.3977662561264501</v>
      </c>
      <c r="K103" s="17">
        <f t="shared" si="15"/>
        <v>2.0867156639448825</v>
      </c>
      <c r="L103">
        <v>200</v>
      </c>
      <c r="O103" s="2">
        <v>200</v>
      </c>
      <c r="P103" s="2">
        <f t="shared" si="22"/>
        <v>0</v>
      </c>
      <c r="Q103" s="2">
        <f t="shared" si="23"/>
        <v>0</v>
      </c>
      <c r="R103" s="72">
        <f t="shared" si="24"/>
        <v>20</v>
      </c>
      <c r="S103" s="2">
        <f t="shared" si="25"/>
        <v>0</v>
      </c>
      <c r="T103">
        <f t="shared" si="26"/>
        <v>0</v>
      </c>
      <c r="U103" s="73">
        <f t="shared" si="16"/>
        <v>0</v>
      </c>
      <c r="V103" s="7">
        <f t="shared" si="27"/>
        <v>202.5</v>
      </c>
      <c r="W103" s="74">
        <f t="shared" si="28"/>
        <v>6.0848389021788268E-2</v>
      </c>
      <c r="X103" s="9">
        <f t="shared" si="29"/>
        <v>-45.771499448986255</v>
      </c>
      <c r="Y103" s="9">
        <f t="shared" si="17"/>
        <v>-33.613990295483688</v>
      </c>
      <c r="Z103">
        <f t="shared" si="18"/>
        <v>2.6475858729352292E-5</v>
      </c>
      <c r="AA103" s="2">
        <f t="shared" si="19"/>
        <v>0</v>
      </c>
      <c r="AB103" s="75">
        <f t="shared" si="30"/>
        <v>0</v>
      </c>
      <c r="AC103">
        <f t="shared" si="33"/>
        <v>0</v>
      </c>
      <c r="AD103" s="75">
        <f t="shared" si="34"/>
        <v>0</v>
      </c>
      <c r="AE103">
        <f t="shared" si="31"/>
        <v>0</v>
      </c>
      <c r="AJ103" s="4"/>
      <c r="AK103" s="4"/>
      <c r="AL103" s="4">
        <f t="shared" si="32"/>
        <v>0</v>
      </c>
      <c r="AM103" s="71">
        <v>200</v>
      </c>
      <c r="AN103">
        <f>SUM(AL98:AL108)</f>
        <v>0</v>
      </c>
      <c r="AO103" s="113">
        <f>AN103/AL137</f>
        <v>0</v>
      </c>
      <c r="AP103" t="s">
        <v>190</v>
      </c>
    </row>
    <row r="104" spans="1:42" x14ac:dyDescent="0.25">
      <c r="A104" s="2">
        <v>20180987</v>
      </c>
      <c r="B104" s="2">
        <v>465</v>
      </c>
      <c r="C104" s="2">
        <v>4319.3599999999997</v>
      </c>
      <c r="D104" s="2">
        <v>6610.2</v>
      </c>
      <c r="E104" s="69">
        <v>43361</v>
      </c>
      <c r="F104" s="72">
        <v>10</v>
      </c>
      <c r="G104" s="2">
        <v>257</v>
      </c>
      <c r="H104" s="2">
        <v>146.4</v>
      </c>
      <c r="I104">
        <f t="shared" si="13"/>
        <v>257</v>
      </c>
      <c r="J104" s="16">
        <f t="shared" si="14"/>
        <v>2.4185332950932121</v>
      </c>
      <c r="K104" s="17">
        <f t="shared" si="15"/>
        <v>2.1655410767223731</v>
      </c>
      <c r="L104">
        <v>205</v>
      </c>
      <c r="O104" s="2">
        <v>205</v>
      </c>
      <c r="P104" s="2">
        <f t="shared" si="22"/>
        <v>0</v>
      </c>
      <c r="Q104" s="2">
        <f t="shared" si="23"/>
        <v>0</v>
      </c>
      <c r="R104" s="72">
        <f t="shared" si="24"/>
        <v>20.5</v>
      </c>
      <c r="S104" s="2">
        <f t="shared" si="25"/>
        <v>0</v>
      </c>
      <c r="T104">
        <f t="shared" si="26"/>
        <v>0</v>
      </c>
      <c r="U104" s="73">
        <f t="shared" si="16"/>
        <v>0</v>
      </c>
      <c r="V104" s="7">
        <f t="shared" si="27"/>
        <v>207.5</v>
      </c>
      <c r="W104" s="74">
        <f t="shared" si="28"/>
        <v>6.5645959651548597E-2</v>
      </c>
      <c r="X104" s="9">
        <f t="shared" si="29"/>
        <v>-45.559637979037774</v>
      </c>
      <c r="Y104" s="9">
        <f t="shared" si="17"/>
        <v>-33.731717993873858</v>
      </c>
      <c r="Z104">
        <f t="shared" si="18"/>
        <v>2.7799449898873377E-5</v>
      </c>
      <c r="AA104" s="2">
        <f t="shared" si="19"/>
        <v>0</v>
      </c>
      <c r="AB104" s="75">
        <f t="shared" si="30"/>
        <v>0</v>
      </c>
      <c r="AC104">
        <f t="shared" si="33"/>
        <v>0</v>
      </c>
      <c r="AD104" s="75">
        <f t="shared" si="34"/>
        <v>0</v>
      </c>
      <c r="AE104">
        <f t="shared" si="31"/>
        <v>0</v>
      </c>
      <c r="AJ104" s="4"/>
      <c r="AK104" s="4"/>
      <c r="AL104" s="4">
        <f t="shared" si="32"/>
        <v>0</v>
      </c>
      <c r="AM104" s="71">
        <v>205</v>
      </c>
    </row>
    <row r="105" spans="1:42" x14ac:dyDescent="0.25">
      <c r="A105" s="2">
        <v>20180987</v>
      </c>
      <c r="B105" s="2">
        <v>465</v>
      </c>
      <c r="C105" s="2">
        <v>4319.3599999999997</v>
      </c>
      <c r="D105" s="2">
        <v>6610.2</v>
      </c>
      <c r="E105" s="69">
        <v>43361</v>
      </c>
      <c r="F105" s="72">
        <v>11</v>
      </c>
      <c r="G105" s="2">
        <v>261</v>
      </c>
      <c r="H105" s="2">
        <v>131.69999999999999</v>
      </c>
      <c r="I105">
        <f t="shared" si="13"/>
        <v>261</v>
      </c>
      <c r="J105" s="16">
        <f t="shared" si="14"/>
        <v>2.4252406791001984</v>
      </c>
      <c r="K105" s="17">
        <f t="shared" si="15"/>
        <v>2.1195857749617839</v>
      </c>
      <c r="L105">
        <v>210</v>
      </c>
      <c r="O105" s="2">
        <v>210</v>
      </c>
      <c r="P105" s="2">
        <f t="shared" si="22"/>
        <v>0</v>
      </c>
      <c r="Q105" s="2">
        <f t="shared" si="23"/>
        <v>0</v>
      </c>
      <c r="R105" s="72">
        <f t="shared" si="24"/>
        <v>21</v>
      </c>
      <c r="S105" s="2">
        <f t="shared" si="25"/>
        <v>0</v>
      </c>
      <c r="T105">
        <f t="shared" si="26"/>
        <v>0</v>
      </c>
      <c r="U105" s="73">
        <f t="shared" si="16"/>
        <v>0</v>
      </c>
      <c r="V105" s="7">
        <f t="shared" si="27"/>
        <v>212.5</v>
      </c>
      <c r="W105" s="74">
        <f t="shared" si="28"/>
        <v>7.0693927007822177E-2</v>
      </c>
      <c r="X105" s="9">
        <f t="shared" si="29"/>
        <v>-45.352821312273399</v>
      </c>
      <c r="Y105" s="9">
        <f t="shared" si="17"/>
        <v>-33.846642383725481</v>
      </c>
      <c r="Z105">
        <f t="shared" si="18"/>
        <v>2.9155323779846092E-5</v>
      </c>
      <c r="AA105" s="2">
        <f t="shared" si="19"/>
        <v>0</v>
      </c>
      <c r="AB105" s="75">
        <f t="shared" si="30"/>
        <v>0</v>
      </c>
      <c r="AC105">
        <f t="shared" si="33"/>
        <v>0</v>
      </c>
      <c r="AD105" s="75">
        <f t="shared" si="34"/>
        <v>0</v>
      </c>
      <c r="AE105">
        <f t="shared" si="31"/>
        <v>0</v>
      </c>
      <c r="AJ105" s="4"/>
      <c r="AK105" s="4"/>
      <c r="AL105" s="4">
        <f t="shared" si="32"/>
        <v>0</v>
      </c>
      <c r="AM105" s="71">
        <v>210</v>
      </c>
    </row>
    <row r="106" spans="1:42" x14ac:dyDescent="0.25">
      <c r="A106" s="2">
        <v>20180987</v>
      </c>
      <c r="B106" s="2">
        <v>465</v>
      </c>
      <c r="C106" s="2">
        <v>4319.3599999999997</v>
      </c>
      <c r="D106" s="2">
        <v>6610.2</v>
      </c>
      <c r="E106" s="69">
        <v>43361</v>
      </c>
      <c r="F106" s="72">
        <v>12</v>
      </c>
      <c r="G106" s="2">
        <v>257</v>
      </c>
      <c r="H106" s="2">
        <v>147.69999999999999</v>
      </c>
      <c r="I106">
        <f t="shared" si="13"/>
        <v>257</v>
      </c>
      <c r="J106" s="16">
        <f t="shared" si="14"/>
        <v>2.4185332950932121</v>
      </c>
      <c r="K106" s="17">
        <f t="shared" si="15"/>
        <v>2.1693804953119495</v>
      </c>
      <c r="L106">
        <v>215</v>
      </c>
      <c r="M106">
        <v>1</v>
      </c>
      <c r="N106">
        <v>16</v>
      </c>
      <c r="O106" s="2">
        <v>215</v>
      </c>
      <c r="P106" s="2">
        <f t="shared" si="22"/>
        <v>1</v>
      </c>
      <c r="Q106" s="2">
        <f t="shared" si="23"/>
        <v>16</v>
      </c>
      <c r="R106" s="72">
        <f t="shared" si="24"/>
        <v>21.5</v>
      </c>
      <c r="S106" s="2">
        <f t="shared" si="25"/>
        <v>215</v>
      </c>
      <c r="T106">
        <f t="shared" si="26"/>
        <v>21.5</v>
      </c>
      <c r="U106" s="73">
        <f t="shared" si="16"/>
        <v>2.3315458148752622E-4</v>
      </c>
      <c r="V106" s="7">
        <f t="shared" si="27"/>
        <v>217.5</v>
      </c>
      <c r="W106" s="74">
        <f t="shared" si="28"/>
        <v>7.5999005546134368E-2</v>
      </c>
      <c r="X106" s="9">
        <f t="shared" si="29"/>
        <v>-45.150814774186884</v>
      </c>
      <c r="Y106" s="9">
        <f t="shared" si="17"/>
        <v>-33.958893869540589</v>
      </c>
      <c r="Z106">
        <f t="shared" si="18"/>
        <v>3.0543480372270643E-5</v>
      </c>
      <c r="AA106" s="2">
        <f t="shared" si="19"/>
        <v>1</v>
      </c>
      <c r="AB106" s="75">
        <f t="shared" si="30"/>
        <v>2.3315458148752622E-4</v>
      </c>
      <c r="AC106">
        <f t="shared" ref="AC106:AC107" si="35">Z106*AA106</f>
        <v>3.0543480372270643E-5</v>
      </c>
      <c r="AD106" s="75">
        <f t="shared" ref="AD106:AD107" si="36">AC106/AC$137</f>
        <v>1.5837404819948558E-4</v>
      </c>
      <c r="AE106">
        <f t="shared" si="31"/>
        <v>2.8215257483953045E-9</v>
      </c>
      <c r="AJ106" s="4"/>
      <c r="AK106" s="4"/>
      <c r="AL106" s="4">
        <f t="shared" si="32"/>
        <v>0</v>
      </c>
      <c r="AM106" s="71">
        <v>215</v>
      </c>
    </row>
    <row r="107" spans="1:42" x14ac:dyDescent="0.25">
      <c r="A107" s="2">
        <v>20180987</v>
      </c>
      <c r="B107" s="2">
        <v>465</v>
      </c>
      <c r="C107" s="2">
        <v>4319.3599999999997</v>
      </c>
      <c r="D107" s="2">
        <v>6610.2</v>
      </c>
      <c r="E107" s="69">
        <v>43361</v>
      </c>
      <c r="F107" s="72">
        <v>13</v>
      </c>
      <c r="G107" s="2">
        <v>281</v>
      </c>
      <c r="H107" s="2">
        <v>184.8</v>
      </c>
      <c r="I107">
        <f t="shared" si="13"/>
        <v>281</v>
      </c>
      <c r="J107" s="16">
        <f t="shared" si="14"/>
        <v>2.4573064916669973</v>
      </c>
      <c r="K107" s="17">
        <f t="shared" si="15"/>
        <v>2.2667019668840878</v>
      </c>
      <c r="L107">
        <v>220</v>
      </c>
      <c r="M107">
        <v>1</v>
      </c>
      <c r="N107">
        <v>16</v>
      </c>
      <c r="O107" s="2">
        <v>220</v>
      </c>
      <c r="P107" s="2">
        <f t="shared" si="22"/>
        <v>1</v>
      </c>
      <c r="Q107" s="2">
        <f t="shared" si="23"/>
        <v>16</v>
      </c>
      <c r="R107" s="72">
        <f t="shared" si="24"/>
        <v>22</v>
      </c>
      <c r="S107" s="2">
        <f t="shared" si="25"/>
        <v>220</v>
      </c>
      <c r="T107">
        <f t="shared" si="26"/>
        <v>22</v>
      </c>
      <c r="U107" s="73">
        <f t="shared" si="16"/>
        <v>2.3315458148752622E-4</v>
      </c>
      <c r="V107" s="7">
        <f t="shared" si="27"/>
        <v>222.5</v>
      </c>
      <c r="W107" s="74">
        <f t="shared" si="28"/>
        <v>8.1567927342291374E-2</v>
      </c>
      <c r="X107" s="9">
        <f t="shared" si="29"/>
        <v>-44.953399693660998</v>
      </c>
      <c r="Y107" s="9">
        <f t="shared" si="17"/>
        <v>-34.068593963018998</v>
      </c>
      <c r="Z107">
        <f t="shared" si="18"/>
        <v>3.1963919676146814E-5</v>
      </c>
      <c r="AA107" s="2">
        <f t="shared" si="19"/>
        <v>1</v>
      </c>
      <c r="AB107" s="75">
        <f t="shared" si="30"/>
        <v>2.3315458148752622E-4</v>
      </c>
      <c r="AC107">
        <f t="shared" si="35"/>
        <v>3.1963919676146814E-5</v>
      </c>
      <c r="AD107" s="75">
        <f t="shared" si="36"/>
        <v>1.657393097883634E-4</v>
      </c>
      <c r="AE107">
        <f t="shared" ref="AE107" si="37">AD107*AE$92</f>
        <v>2.9527421658130742E-9</v>
      </c>
      <c r="AJ107" s="4"/>
      <c r="AK107" s="4"/>
      <c r="AL107" s="4">
        <f t="shared" si="32"/>
        <v>0</v>
      </c>
      <c r="AM107" s="71">
        <v>220</v>
      </c>
    </row>
    <row r="108" spans="1:42" x14ac:dyDescent="0.25">
      <c r="A108" s="2">
        <v>20180987</v>
      </c>
      <c r="B108" s="2">
        <v>465</v>
      </c>
      <c r="C108" s="2">
        <v>4319.3599999999997</v>
      </c>
      <c r="D108" s="2">
        <v>6610.2</v>
      </c>
      <c r="E108" s="69">
        <v>43361</v>
      </c>
      <c r="F108" s="72">
        <v>14</v>
      </c>
      <c r="G108" s="2">
        <v>274</v>
      </c>
      <c r="H108" s="2">
        <v>149.1</v>
      </c>
      <c r="I108">
        <f t="shared" si="13"/>
        <v>274</v>
      </c>
      <c r="J108" s="16">
        <f t="shared" si="14"/>
        <v>2.4463507345823055</v>
      </c>
      <c r="K108" s="17">
        <f t="shared" si="15"/>
        <v>2.1734776434529945</v>
      </c>
      <c r="L108" s="2">
        <v>225</v>
      </c>
      <c r="M108" s="2">
        <v>8</v>
      </c>
      <c r="N108">
        <v>219</v>
      </c>
      <c r="O108" s="2">
        <v>225</v>
      </c>
      <c r="P108" s="2">
        <f t="shared" si="22"/>
        <v>8</v>
      </c>
      <c r="Q108" s="2">
        <f t="shared" si="23"/>
        <v>219</v>
      </c>
      <c r="R108" s="72">
        <f t="shared" si="24"/>
        <v>22.5</v>
      </c>
      <c r="S108" s="2">
        <f t="shared" si="25"/>
        <v>1800</v>
      </c>
      <c r="T108">
        <f t="shared" si="26"/>
        <v>180</v>
      </c>
      <c r="U108" s="73">
        <f t="shared" si="16"/>
        <v>1.8652366519002097E-3</v>
      </c>
      <c r="V108" s="7">
        <f t="shared" si="27"/>
        <v>227.5</v>
      </c>
      <c r="W108" s="74">
        <f t="shared" si="28"/>
        <v>8.7407441731839897E-2</v>
      </c>
      <c r="X108" s="9">
        <f t="shared" si="29"/>
        <v>-44.760371980137379</v>
      </c>
      <c r="Y108" s="9">
        <f t="shared" si="17"/>
        <v>-34.17585607369999</v>
      </c>
      <c r="Z108">
        <f t="shared" si="18"/>
        <v>3.3416641691474838E-5</v>
      </c>
      <c r="AA108" s="2">
        <f t="shared" si="19"/>
        <v>8</v>
      </c>
      <c r="AB108" s="75">
        <f t="shared" si="30"/>
        <v>1.8652366519002097E-3</v>
      </c>
      <c r="AC108">
        <f t="shared" si="33"/>
        <v>2.6733313353179871E-4</v>
      </c>
      <c r="AD108" s="75">
        <f t="shared" si="34"/>
        <v>1.3861757094886398E-3</v>
      </c>
      <c r="AE108">
        <f t="shared" ref="AE108:AE126" si="38">AD108*AE$92</f>
        <v>2.4695526196286435E-8</v>
      </c>
      <c r="AJ108" s="4"/>
      <c r="AK108" s="4"/>
      <c r="AL108" s="4">
        <f t="shared" ref="AL108:AL117" si="39">AJ108*AA$143*1000</f>
        <v>0</v>
      </c>
      <c r="AM108" s="71">
        <v>225</v>
      </c>
    </row>
    <row r="109" spans="1:42" x14ac:dyDescent="0.25">
      <c r="A109" s="2">
        <v>20180987</v>
      </c>
      <c r="B109" s="2">
        <v>465</v>
      </c>
      <c r="C109" s="2">
        <v>4319.3599999999997</v>
      </c>
      <c r="D109" s="2">
        <v>6610.2</v>
      </c>
      <c r="E109" s="69">
        <v>43361</v>
      </c>
      <c r="F109" s="72">
        <v>15</v>
      </c>
      <c r="G109" s="2">
        <v>274</v>
      </c>
      <c r="H109" s="2">
        <v>168.1</v>
      </c>
      <c r="I109">
        <f t="shared" si="13"/>
        <v>274</v>
      </c>
      <c r="J109" s="16">
        <f t="shared" si="14"/>
        <v>2.4463507345823055</v>
      </c>
      <c r="K109" s="17">
        <f t="shared" si="15"/>
        <v>2.2255677134394709</v>
      </c>
      <c r="L109" s="2">
        <v>230</v>
      </c>
      <c r="M109" s="2">
        <v>53</v>
      </c>
      <c r="N109">
        <v>2311</v>
      </c>
      <c r="O109">
        <v>230</v>
      </c>
      <c r="P109" s="2">
        <f t="shared" si="22"/>
        <v>53</v>
      </c>
      <c r="Q109" s="2">
        <f t="shared" si="23"/>
        <v>2311</v>
      </c>
      <c r="R109" s="76">
        <f t="shared" si="24"/>
        <v>23</v>
      </c>
      <c r="S109">
        <f t="shared" si="25"/>
        <v>12190</v>
      </c>
      <c r="T109">
        <f t="shared" si="26"/>
        <v>1219</v>
      </c>
      <c r="U109" s="75">
        <f t="shared" si="16"/>
        <v>1.235719281883889E-2</v>
      </c>
      <c r="V109" s="7">
        <f t="shared" si="27"/>
        <v>232.5</v>
      </c>
      <c r="W109" s="74">
        <f t="shared" si="28"/>
        <v>9.3524314964854957E-2</v>
      </c>
      <c r="X109" s="9">
        <f t="shared" si="29"/>
        <v>-44.571540855480549</v>
      </c>
      <c r="Y109" s="9">
        <f t="shared" si="17"/>
        <v>-34.280786213643232</v>
      </c>
      <c r="Z109">
        <f t="shared" si="18"/>
        <v>3.4901646418254526E-5</v>
      </c>
      <c r="AA109" s="2">
        <f t="shared" si="19"/>
        <v>53</v>
      </c>
      <c r="AB109" s="75">
        <f t="shared" si="30"/>
        <v>1.235719281883889E-2</v>
      </c>
      <c r="AC109">
        <f t="shared" si="33"/>
        <v>1.8497872601674899E-3</v>
      </c>
      <c r="AD109" s="75">
        <f t="shared" si="34"/>
        <v>9.5915165243096196E-3</v>
      </c>
      <c r="AE109">
        <f t="shared" si="38"/>
        <v>1.7087844345186431E-7</v>
      </c>
      <c r="AF109">
        <f t="shared" ref="AF109:AF126" si="40">10*LOG10(AE109)</f>
        <v>-67.673127206636224</v>
      </c>
      <c r="AG109">
        <f t="shared" ref="AG109:AG126" si="41">10^((AF109-X109)/10)</f>
        <v>4.8959995011149298E-3</v>
      </c>
      <c r="AH109">
        <f t="shared" ref="AH109:AH117" si="42">AG109*AA$143*1000</f>
        <v>3907.0076018897139</v>
      </c>
      <c r="AI109">
        <f t="shared" ref="AI109:AI126" si="43">AH109*W109</f>
        <v>365.40020952921623</v>
      </c>
      <c r="AJ109" s="4">
        <f t="shared" ref="AJ109:AJ117" si="44">AC$143*AD109</f>
        <v>5.3153812686285162E-4</v>
      </c>
      <c r="AK109" s="4">
        <f t="shared" ref="AK109:AK126" si="45">10*LOG10(AJ109)</f>
        <v>-32.744655783800496</v>
      </c>
      <c r="AL109" s="4">
        <f t="shared" si="39"/>
        <v>424.16742523655557</v>
      </c>
      <c r="AM109" s="71">
        <v>230</v>
      </c>
    </row>
    <row r="110" spans="1:42" x14ac:dyDescent="0.25">
      <c r="A110" s="2">
        <v>20180987</v>
      </c>
      <c r="B110" s="2">
        <v>465</v>
      </c>
      <c r="C110" s="2">
        <v>4319.3599999999997</v>
      </c>
      <c r="D110" s="2">
        <v>6610.2</v>
      </c>
      <c r="E110" s="69">
        <v>43361</v>
      </c>
      <c r="F110" s="72">
        <v>16</v>
      </c>
      <c r="G110" s="2">
        <v>264</v>
      </c>
      <c r="H110" s="2">
        <v>152.19999999999999</v>
      </c>
      <c r="I110">
        <f t="shared" si="13"/>
        <v>264</v>
      </c>
      <c r="J110" s="16">
        <f t="shared" si="14"/>
        <v>2.4302040986317488</v>
      </c>
      <c r="K110" s="17">
        <f t="shared" si="15"/>
        <v>2.182414652434554</v>
      </c>
      <c r="L110" s="2">
        <v>235</v>
      </c>
      <c r="M110" s="2">
        <v>104</v>
      </c>
      <c r="N110">
        <v>4758</v>
      </c>
      <c r="O110">
        <v>235</v>
      </c>
      <c r="P110" s="2">
        <f t="shared" si="22"/>
        <v>104</v>
      </c>
      <c r="Q110" s="2">
        <f t="shared" si="23"/>
        <v>4758</v>
      </c>
      <c r="R110" s="76">
        <f t="shared" si="24"/>
        <v>23.5</v>
      </c>
      <c r="S110">
        <f t="shared" si="25"/>
        <v>24440</v>
      </c>
      <c r="T110">
        <f t="shared" si="26"/>
        <v>2444</v>
      </c>
      <c r="U110" s="75">
        <f t="shared" si="16"/>
        <v>2.4248076474702729E-2</v>
      </c>
      <c r="V110" s="7">
        <f t="shared" si="27"/>
        <v>237.5</v>
      </c>
      <c r="W110" s="74">
        <f t="shared" si="28"/>
        <v>9.9925329875083249E-2</v>
      </c>
      <c r="X110" s="9">
        <f t="shared" si="29"/>
        <v>-44.386727720782304</v>
      </c>
      <c r="Y110" s="9">
        <f t="shared" si="17"/>
        <v>-34.383483627125685</v>
      </c>
      <c r="Z110">
        <f t="shared" si="18"/>
        <v>3.6418933856485931E-5</v>
      </c>
      <c r="AA110" s="2">
        <f t="shared" si="19"/>
        <v>104</v>
      </c>
      <c r="AB110" s="75">
        <f t="shared" si="30"/>
        <v>2.4248076474702729E-2</v>
      </c>
      <c r="AC110">
        <f t="shared" si="33"/>
        <v>3.7875691210745369E-3</v>
      </c>
      <c r="AD110" s="75">
        <f t="shared" si="34"/>
        <v>1.9639302634434783E-2</v>
      </c>
      <c r="AE110">
        <f t="shared" si="38"/>
        <v>3.4988559485319429E-7</v>
      </c>
      <c r="AF110">
        <f t="shared" si="40"/>
        <v>-64.560739374958061</v>
      </c>
      <c r="AG110">
        <f t="shared" si="41"/>
        <v>9.6072443040745963E-3</v>
      </c>
      <c r="AH110">
        <f t="shared" si="42"/>
        <v>7666.5809546515284</v>
      </c>
      <c r="AI110">
        <f t="shared" si="43"/>
        <v>766.08563090758457</v>
      </c>
      <c r="AJ110" s="4">
        <f t="shared" si="44"/>
        <v>1.0883615858600123E-3</v>
      </c>
      <c r="AK110" s="4">
        <f t="shared" si="45"/>
        <v>-29.632267952122334</v>
      </c>
      <c r="AL110" s="4">
        <f t="shared" si="39"/>
        <v>868.51254551628983</v>
      </c>
      <c r="AM110" s="71">
        <v>235</v>
      </c>
    </row>
    <row r="111" spans="1:42" x14ac:dyDescent="0.25">
      <c r="A111" s="2">
        <v>20180987</v>
      </c>
      <c r="B111" s="2">
        <v>465</v>
      </c>
      <c r="C111" s="2">
        <v>4319.3599999999997</v>
      </c>
      <c r="D111" s="2">
        <v>6610.2</v>
      </c>
      <c r="E111" s="69">
        <v>43361</v>
      </c>
      <c r="F111" s="72">
        <v>17</v>
      </c>
      <c r="G111" s="2">
        <v>267</v>
      </c>
      <c r="H111" s="2">
        <v>160.1</v>
      </c>
      <c r="I111">
        <f t="shared" si="13"/>
        <v>267</v>
      </c>
      <c r="J111" s="16">
        <f t="shared" si="14"/>
        <v>2.4351114331264929</v>
      </c>
      <c r="K111" s="17">
        <f t="shared" si="15"/>
        <v>2.2043913319192998</v>
      </c>
      <c r="L111" s="2">
        <v>240</v>
      </c>
      <c r="M111" s="2">
        <v>236</v>
      </c>
      <c r="N111">
        <v>11506</v>
      </c>
      <c r="O111">
        <v>240</v>
      </c>
      <c r="P111" s="2">
        <f t="shared" si="22"/>
        <v>236</v>
      </c>
      <c r="Q111" s="2">
        <f t="shared" si="23"/>
        <v>11506</v>
      </c>
      <c r="R111" s="76">
        <f t="shared" si="24"/>
        <v>24</v>
      </c>
      <c r="S111">
        <f t="shared" si="25"/>
        <v>56640</v>
      </c>
      <c r="T111">
        <f t="shared" si="26"/>
        <v>5664</v>
      </c>
      <c r="U111" s="75">
        <f t="shared" si="16"/>
        <v>5.5024481231056188E-2</v>
      </c>
      <c r="V111" s="7">
        <f t="shared" si="27"/>
        <v>242.5</v>
      </c>
      <c r="W111" s="74">
        <f t="shared" si="28"/>
        <v>0.10661728556254432</v>
      </c>
      <c r="X111" s="9">
        <f t="shared" si="29"/>
        <v>-44.205765141234352</v>
      </c>
      <c r="Y111" s="9">
        <f t="shared" si="17"/>
        <v>-34.484041354729968</v>
      </c>
      <c r="Z111">
        <f t="shared" si="18"/>
        <v>3.796850400616917E-5</v>
      </c>
      <c r="AA111" s="2">
        <f t="shared" si="19"/>
        <v>236</v>
      </c>
      <c r="AB111" s="75">
        <f t="shared" si="30"/>
        <v>5.5024481231056188E-2</v>
      </c>
      <c r="AC111">
        <f t="shared" si="33"/>
        <v>8.9605669454559233E-3</v>
      </c>
      <c r="AD111" s="75">
        <f t="shared" si="34"/>
        <v>4.6462329898812847E-2</v>
      </c>
      <c r="AE111">
        <f t="shared" si="38"/>
        <v>8.2775342065394824E-7</v>
      </c>
      <c r="AF111">
        <f t="shared" si="40"/>
        <v>-60.820990158696844</v>
      </c>
      <c r="AG111">
        <f t="shared" si="41"/>
        <v>2.1801054382323139E-2</v>
      </c>
      <c r="AH111">
        <f t="shared" si="42"/>
        <v>17397.241397093865</v>
      </c>
      <c r="AI111">
        <f t="shared" si="43"/>
        <v>1854.8466540344741</v>
      </c>
      <c r="AJ111" s="4">
        <f t="shared" si="44"/>
        <v>2.5748274260390179E-3</v>
      </c>
      <c r="AK111" s="4">
        <f t="shared" si="45"/>
        <v>-25.892518735861124</v>
      </c>
      <c r="AL111" s="4">
        <f t="shared" si="39"/>
        <v>2054.7122859791361</v>
      </c>
      <c r="AM111" s="71">
        <v>240</v>
      </c>
    </row>
    <row r="112" spans="1:42" x14ac:dyDescent="0.25">
      <c r="A112" s="2">
        <v>20180987</v>
      </c>
      <c r="B112" s="2">
        <v>465</v>
      </c>
      <c r="C112" s="2">
        <v>4319.3599999999997</v>
      </c>
      <c r="D112" s="2">
        <v>6610.2</v>
      </c>
      <c r="E112" s="69">
        <v>43361</v>
      </c>
      <c r="F112" s="72">
        <v>18</v>
      </c>
      <c r="G112" s="2">
        <v>286</v>
      </c>
      <c r="H112" s="2">
        <v>176.2</v>
      </c>
      <c r="I112">
        <f t="shared" si="13"/>
        <v>286</v>
      </c>
      <c r="J112" s="16">
        <f t="shared" si="14"/>
        <v>2.4649662048909606</v>
      </c>
      <c r="K112" s="17">
        <f t="shared" si="15"/>
        <v>2.246005904076029</v>
      </c>
      <c r="L112" s="2">
        <v>245</v>
      </c>
      <c r="M112" s="2">
        <v>312</v>
      </c>
      <c r="N112">
        <v>16694</v>
      </c>
      <c r="O112">
        <v>245</v>
      </c>
      <c r="P112" s="2">
        <f t="shared" si="22"/>
        <v>312</v>
      </c>
      <c r="Q112" s="2">
        <f t="shared" si="23"/>
        <v>16694</v>
      </c>
      <c r="R112" s="76">
        <f t="shared" si="24"/>
        <v>24.5</v>
      </c>
      <c r="S112">
        <f t="shared" si="25"/>
        <v>76440</v>
      </c>
      <c r="T112">
        <f t="shared" si="26"/>
        <v>7644</v>
      </c>
      <c r="U112" s="75">
        <f t="shared" si="16"/>
        <v>7.2744229424108187E-2</v>
      </c>
      <c r="V112" s="7">
        <f t="shared" si="27"/>
        <v>247.5</v>
      </c>
      <c r="W112" s="74">
        <f t="shared" si="28"/>
        <v>0.11360699708877615</v>
      </c>
      <c r="X112" s="9">
        <f t="shared" si="29"/>
        <v>-44.028495934608252</v>
      </c>
      <c r="Y112" s="9">
        <f t="shared" si="17"/>
        <v>-34.582546739860256</v>
      </c>
      <c r="Z112">
        <f t="shared" si="18"/>
        <v>3.9550356867304065E-5</v>
      </c>
      <c r="AA112" s="2">
        <f t="shared" si="19"/>
        <v>312</v>
      </c>
      <c r="AB112" s="75">
        <f t="shared" si="30"/>
        <v>7.2744229424108187E-2</v>
      </c>
      <c r="AC112">
        <f t="shared" si="33"/>
        <v>1.2339711342598867E-2</v>
      </c>
      <c r="AD112" s="75">
        <f t="shared" si="34"/>
        <v>6.3983868737981911E-2</v>
      </c>
      <c r="AE112">
        <f t="shared" si="38"/>
        <v>1.1399098222125747E-6</v>
      </c>
      <c r="AF112">
        <f t="shared" si="40"/>
        <v>-59.43129504158739</v>
      </c>
      <c r="AG112">
        <f t="shared" si="41"/>
        <v>2.8821732912223747E-2</v>
      </c>
      <c r="AH112">
        <f t="shared" si="42"/>
        <v>22999.742863954551</v>
      </c>
      <c r="AI112">
        <f t="shared" si="43"/>
        <v>2612.9317205878847</v>
      </c>
      <c r="AJ112" s="4">
        <f t="shared" si="44"/>
        <v>3.5458277793952342E-3</v>
      </c>
      <c r="AK112" s="4">
        <f t="shared" si="45"/>
        <v>-24.502823618751663</v>
      </c>
      <c r="AL112" s="4">
        <f t="shared" si="39"/>
        <v>2829.5705679573971</v>
      </c>
      <c r="AM112" s="71">
        <v>245</v>
      </c>
    </row>
    <row r="113" spans="1:39" x14ac:dyDescent="0.25">
      <c r="A113" s="2">
        <v>20180987</v>
      </c>
      <c r="B113" s="2">
        <v>465</v>
      </c>
      <c r="C113" s="2">
        <v>4319.3599999999997</v>
      </c>
      <c r="D113" s="2">
        <v>6610.2</v>
      </c>
      <c r="E113" s="69">
        <v>43361</v>
      </c>
      <c r="F113" s="72">
        <v>19</v>
      </c>
      <c r="G113" s="2">
        <v>276</v>
      </c>
      <c r="H113" s="2">
        <v>172.3</v>
      </c>
      <c r="I113">
        <f t="shared" si="13"/>
        <v>276</v>
      </c>
      <c r="J113" s="16">
        <f t="shared" si="14"/>
        <v>2.4495092538271352</v>
      </c>
      <c r="K113" s="17">
        <f t="shared" si="15"/>
        <v>2.2362852774480286</v>
      </c>
      <c r="L113" s="2">
        <v>250</v>
      </c>
      <c r="M113" s="2">
        <v>530</v>
      </c>
      <c r="N113">
        <v>28754</v>
      </c>
      <c r="O113">
        <v>250</v>
      </c>
      <c r="P113" s="2">
        <f t="shared" si="22"/>
        <v>530</v>
      </c>
      <c r="Q113" s="2">
        <f t="shared" si="23"/>
        <v>28754</v>
      </c>
      <c r="R113" s="76">
        <f t="shared" si="24"/>
        <v>25</v>
      </c>
      <c r="S113">
        <f t="shared" si="25"/>
        <v>132500</v>
      </c>
      <c r="T113">
        <f t="shared" si="26"/>
        <v>13250</v>
      </c>
      <c r="U113" s="75">
        <f t="shared" si="16"/>
        <v>0.1235719281883889</v>
      </c>
      <c r="V113" s="7">
        <f t="shared" si="27"/>
        <v>252.5</v>
      </c>
      <c r="W113" s="74">
        <f t="shared" si="28"/>
        <v>0.12090129518396127</v>
      </c>
      <c r="X113" s="9">
        <f t="shared" si="29"/>
        <v>-43.854772350906401</v>
      </c>
      <c r="Y113" s="9">
        <f t="shared" si="17"/>
        <v>-34.679081884595554</v>
      </c>
      <c r="Z113">
        <f t="shared" si="18"/>
        <v>4.1164492439890664E-5</v>
      </c>
      <c r="AA113" s="2">
        <f t="shared" si="19"/>
        <v>530</v>
      </c>
      <c r="AB113" s="75">
        <f t="shared" si="30"/>
        <v>0.1235719281883889</v>
      </c>
      <c r="AC113">
        <f t="shared" si="33"/>
        <v>2.1817180993142053E-2</v>
      </c>
      <c r="AD113" s="75">
        <f t="shared" si="34"/>
        <v>0.11312644243783376</v>
      </c>
      <c r="AE113">
        <f t="shared" si="38"/>
        <v>2.0154133444935457E-6</v>
      </c>
      <c r="AF113">
        <f t="shared" si="40"/>
        <v>-56.956358702062069</v>
      </c>
      <c r="AG113">
        <f t="shared" si="41"/>
        <v>4.8959995011149421E-2</v>
      </c>
      <c r="AH113">
        <f t="shared" si="42"/>
        <v>39070.076018897242</v>
      </c>
      <c r="AI113">
        <f t="shared" si="43"/>
        <v>4723.6227936205014</v>
      </c>
      <c r="AJ113" s="4">
        <f t="shared" si="44"/>
        <v>6.2691876888980791E-3</v>
      </c>
      <c r="AK113" s="4">
        <f t="shared" si="45"/>
        <v>-22.027887279226348</v>
      </c>
      <c r="AL113" s="4">
        <f t="shared" si="39"/>
        <v>5002.8117757406671</v>
      </c>
      <c r="AM113" s="71">
        <v>250</v>
      </c>
    </row>
    <row r="114" spans="1:39" x14ac:dyDescent="0.25">
      <c r="A114" s="2">
        <v>20180987</v>
      </c>
      <c r="B114" s="2">
        <v>465</v>
      </c>
      <c r="C114" s="2">
        <v>4319.3599999999997</v>
      </c>
      <c r="D114" s="2">
        <v>6610.2</v>
      </c>
      <c r="E114" s="69">
        <v>43361</v>
      </c>
      <c r="F114" s="72">
        <v>20</v>
      </c>
      <c r="G114" s="2">
        <v>229</v>
      </c>
      <c r="H114" s="2">
        <v>91.2</v>
      </c>
      <c r="I114">
        <f t="shared" si="13"/>
        <v>229</v>
      </c>
      <c r="J114" s="16">
        <f t="shared" si="14"/>
        <v>2.3684356541018055</v>
      </c>
      <c r="K114" s="17">
        <f t="shared" si="15"/>
        <v>1.9599948383284163</v>
      </c>
      <c r="L114" s="2">
        <v>255</v>
      </c>
      <c r="M114" s="2">
        <v>532</v>
      </c>
      <c r="N114">
        <v>30355</v>
      </c>
      <c r="O114">
        <v>255</v>
      </c>
      <c r="P114" s="2">
        <f t="shared" si="22"/>
        <v>532</v>
      </c>
      <c r="Q114" s="2">
        <f t="shared" si="23"/>
        <v>30355</v>
      </c>
      <c r="R114" s="76">
        <f t="shared" si="24"/>
        <v>25.5</v>
      </c>
      <c r="S114">
        <f t="shared" si="25"/>
        <v>135660</v>
      </c>
      <c r="T114">
        <f t="shared" si="26"/>
        <v>13566</v>
      </c>
      <c r="U114" s="75">
        <f t="shared" si="16"/>
        <v>0.12403823735136395</v>
      </c>
      <c r="V114" s="7">
        <f t="shared" si="27"/>
        <v>257.5</v>
      </c>
      <c r="W114" s="74">
        <f t="shared" si="28"/>
        <v>0.12850702596525143</v>
      </c>
      <c r="X114" s="9">
        <f t="shared" si="29"/>
        <v>-43.684455332455812</v>
      </c>
      <c r="Y114" s="9">
        <f t="shared" si="17"/>
        <v>-34.77372406084281</v>
      </c>
      <c r="Z114">
        <f t="shared" si="18"/>
        <v>4.2810910723929022E-5</v>
      </c>
      <c r="AA114" s="2">
        <f t="shared" si="19"/>
        <v>532</v>
      </c>
      <c r="AB114" s="75">
        <f t="shared" si="30"/>
        <v>0.12403823735136395</v>
      </c>
      <c r="AC114">
        <f t="shared" si="33"/>
        <v>2.2775404505130239E-2</v>
      </c>
      <c r="AD114" s="75">
        <f t="shared" si="34"/>
        <v>0.11809502279684461</v>
      </c>
      <c r="AE114">
        <f t="shared" si="38"/>
        <v>2.1039314923548812E-6</v>
      </c>
      <c r="AF114">
        <f t="shared" si="40"/>
        <v>-56.769684056668893</v>
      </c>
      <c r="AG114">
        <f t="shared" si="41"/>
        <v>4.9144749709304644E-2</v>
      </c>
      <c r="AH114">
        <f t="shared" si="42"/>
        <v>39217.510268025108</v>
      </c>
      <c r="AI114">
        <f t="shared" si="43"/>
        <v>5039.725610305617</v>
      </c>
      <c r="AJ114" s="4">
        <f t="shared" si="44"/>
        <v>6.5445341255645452E-3</v>
      </c>
      <c r="AK114" s="4">
        <f t="shared" si="45"/>
        <v>-21.841212633833166</v>
      </c>
      <c r="AL114" s="4">
        <f t="shared" si="39"/>
        <v>5222.5382322005071</v>
      </c>
      <c r="AM114" s="71">
        <v>255</v>
      </c>
    </row>
    <row r="115" spans="1:39" x14ac:dyDescent="0.25">
      <c r="A115" s="2">
        <v>20180987</v>
      </c>
      <c r="B115" s="2">
        <v>465</v>
      </c>
      <c r="C115" s="2">
        <v>4319.3599999999997</v>
      </c>
      <c r="D115" s="2">
        <v>6610.2</v>
      </c>
      <c r="E115" s="69">
        <v>43361</v>
      </c>
      <c r="F115" s="72">
        <v>21</v>
      </c>
      <c r="G115" s="2">
        <v>269</v>
      </c>
      <c r="H115" s="2">
        <v>162.1</v>
      </c>
      <c r="I115">
        <f t="shared" si="13"/>
        <v>269</v>
      </c>
      <c r="J115" s="16">
        <f t="shared" si="14"/>
        <v>2.4383524517643256</v>
      </c>
      <c r="K115" s="17">
        <f t="shared" si="15"/>
        <v>2.2097830148485151</v>
      </c>
      <c r="L115" s="2">
        <v>260</v>
      </c>
      <c r="M115" s="2">
        <v>695</v>
      </c>
      <c r="N115">
        <v>39695</v>
      </c>
      <c r="O115">
        <v>260</v>
      </c>
      <c r="P115" s="2">
        <f t="shared" si="22"/>
        <v>695</v>
      </c>
      <c r="Q115" s="2">
        <f t="shared" si="23"/>
        <v>39695</v>
      </c>
      <c r="R115" s="72">
        <f t="shared" si="24"/>
        <v>26</v>
      </c>
      <c r="S115">
        <f t="shared" si="25"/>
        <v>180700</v>
      </c>
      <c r="T115">
        <f t="shared" si="26"/>
        <v>18070</v>
      </c>
      <c r="U115" s="75">
        <f t="shared" si="16"/>
        <v>0.16204243413383074</v>
      </c>
      <c r="V115" s="7">
        <f t="shared" si="27"/>
        <v>262.5</v>
      </c>
      <c r="W115" s="74">
        <f t="shared" si="28"/>
        <v>0.13643105066563507</v>
      </c>
      <c r="X115" s="9">
        <f t="shared" si="29"/>
        <v>-43.51741384516049</v>
      </c>
      <c r="Y115" s="9">
        <f t="shared" si="17"/>
        <v>-34.866546081948059</v>
      </c>
      <c r="Z115">
        <f t="shared" si="18"/>
        <v>4.4489611719419158E-5</v>
      </c>
      <c r="AA115" s="2">
        <f t="shared" si="19"/>
        <v>695</v>
      </c>
      <c r="AB115" s="75">
        <f t="shared" si="30"/>
        <v>0.16204243413383074</v>
      </c>
      <c r="AC115">
        <f t="shared" si="33"/>
        <v>3.0920280144996315E-2</v>
      </c>
      <c r="AD115" s="75">
        <f t="shared" si="34"/>
        <v>0.16032783030420564</v>
      </c>
      <c r="AE115">
        <f t="shared" si="38"/>
        <v>2.8563335125327597E-6</v>
      </c>
      <c r="AF115">
        <f t="shared" si="40"/>
        <v>-55.441910846422914</v>
      </c>
      <c r="AG115">
        <f t="shared" si="41"/>
        <v>6.420225760896002E-2</v>
      </c>
      <c r="AH115">
        <f t="shared" si="42"/>
        <v>51233.401571950097</v>
      </c>
      <c r="AI115">
        <f t="shared" si="43"/>
        <v>6989.826805635551</v>
      </c>
      <c r="AJ115" s="4">
        <f t="shared" si="44"/>
        <v>8.8849718798786736E-3</v>
      </c>
      <c r="AK115" s="4">
        <f t="shared" si="45"/>
        <v>-20.513439423587187</v>
      </c>
      <c r="AL115" s="4">
        <f t="shared" si="39"/>
        <v>7090.2075601431807</v>
      </c>
      <c r="AM115" s="71">
        <v>260</v>
      </c>
    </row>
    <row r="116" spans="1:39" x14ac:dyDescent="0.25">
      <c r="A116" s="2">
        <v>20180987</v>
      </c>
      <c r="B116" s="2">
        <v>465</v>
      </c>
      <c r="C116" s="2">
        <v>4319.3599999999997</v>
      </c>
      <c r="D116" s="2">
        <v>6610.2</v>
      </c>
      <c r="E116" s="69">
        <v>43361</v>
      </c>
      <c r="F116" s="72">
        <v>22</v>
      </c>
      <c r="G116" s="2">
        <v>217</v>
      </c>
      <c r="H116" s="2">
        <v>75.599999999999994</v>
      </c>
      <c r="I116">
        <f t="shared" si="13"/>
        <v>217</v>
      </c>
      <c r="J116" s="16">
        <f t="shared" si="14"/>
        <v>2.3450599056104471</v>
      </c>
      <c r="K116" s="17">
        <f t="shared" si="15"/>
        <v>1.8785217955012066</v>
      </c>
      <c r="L116" s="2">
        <v>265</v>
      </c>
      <c r="M116" s="2">
        <v>501</v>
      </c>
      <c r="N116">
        <v>27869</v>
      </c>
      <c r="O116">
        <v>265</v>
      </c>
      <c r="P116" s="2">
        <f t="shared" si="22"/>
        <v>501</v>
      </c>
      <c r="Q116" s="2">
        <f t="shared" si="23"/>
        <v>27869</v>
      </c>
      <c r="R116" s="76">
        <f t="shared" si="24"/>
        <v>26.5</v>
      </c>
      <c r="S116">
        <f t="shared" si="25"/>
        <v>132765</v>
      </c>
      <c r="T116">
        <f t="shared" si="26"/>
        <v>13276.5</v>
      </c>
      <c r="U116" s="75">
        <f t="shared" si="16"/>
        <v>0.11681044532525064</v>
      </c>
      <c r="V116" s="7">
        <f t="shared" si="27"/>
        <v>267.5</v>
      </c>
      <c r="W116" s="74">
        <f t="shared" si="28"/>
        <v>0.14468024537276855</v>
      </c>
      <c r="X116" s="9">
        <f t="shared" si="29"/>
        <v>-43.353524272855061</v>
      </c>
      <c r="Y116" s="9">
        <f t="shared" si="17"/>
        <v>-34.957616639243625</v>
      </c>
      <c r="Z116">
        <f t="shared" si="18"/>
        <v>4.6200595426360986E-5</v>
      </c>
      <c r="AA116" s="2">
        <f t="shared" si="19"/>
        <v>501</v>
      </c>
      <c r="AB116" s="75">
        <f t="shared" si="30"/>
        <v>0.11681044532525064</v>
      </c>
      <c r="AC116">
        <f t="shared" si="33"/>
        <v>2.3146498308606853E-2</v>
      </c>
      <c r="AD116" s="75">
        <f t="shared" si="34"/>
        <v>0.12001921831097771</v>
      </c>
      <c r="AE116">
        <f t="shared" si="38"/>
        <v>2.1382121541791894E-6</v>
      </c>
      <c r="AF116">
        <f t="shared" si="40"/>
        <v>-56.699492061346163</v>
      </c>
      <c r="AG116">
        <f t="shared" si="41"/>
        <v>4.6281051887897835E-2</v>
      </c>
      <c r="AH116">
        <f t="shared" si="42"/>
        <v>36932.279406542468</v>
      </c>
      <c r="AI116">
        <f t="shared" si="43"/>
        <v>5343.3712467142113</v>
      </c>
      <c r="AJ116" s="4">
        <f t="shared" si="44"/>
        <v>6.6511682826040468E-3</v>
      </c>
      <c r="AK116" s="4">
        <f t="shared" si="45"/>
        <v>-21.771020638510443</v>
      </c>
      <c r="AL116" s="4">
        <f t="shared" si="39"/>
        <v>5307.6322895180292</v>
      </c>
      <c r="AM116" s="71">
        <v>265</v>
      </c>
    </row>
    <row r="117" spans="1:39" x14ac:dyDescent="0.25">
      <c r="A117" s="2">
        <v>20180987</v>
      </c>
      <c r="B117" s="2">
        <v>465</v>
      </c>
      <c r="C117" s="2">
        <v>4319.3599999999997</v>
      </c>
      <c r="D117" s="2">
        <v>6610.2</v>
      </c>
      <c r="E117" s="69">
        <v>43361</v>
      </c>
      <c r="F117" s="72">
        <v>23</v>
      </c>
      <c r="G117" s="2">
        <v>265</v>
      </c>
      <c r="H117" s="2">
        <v>142.19999999999999</v>
      </c>
      <c r="I117">
        <f t="shared" si="13"/>
        <v>265</v>
      </c>
      <c r="J117" s="16">
        <f t="shared" si="14"/>
        <v>2.4318460456987254</v>
      </c>
      <c r="K117" s="17">
        <f t="shared" si="15"/>
        <v>2.1528995963937474</v>
      </c>
      <c r="L117" s="2">
        <v>270</v>
      </c>
      <c r="M117" s="2">
        <v>503</v>
      </c>
      <c r="N117">
        <v>29936</v>
      </c>
      <c r="O117">
        <v>270</v>
      </c>
      <c r="P117" s="2">
        <f t="shared" si="22"/>
        <v>503</v>
      </c>
      <c r="Q117" s="2">
        <f t="shared" si="23"/>
        <v>29936</v>
      </c>
      <c r="R117" s="76">
        <f t="shared" si="24"/>
        <v>27</v>
      </c>
      <c r="S117">
        <f t="shared" si="25"/>
        <v>135810</v>
      </c>
      <c r="T117">
        <f t="shared" si="26"/>
        <v>13581</v>
      </c>
      <c r="U117" s="75">
        <f t="shared" si="16"/>
        <v>0.11727675448822569</v>
      </c>
      <c r="V117" s="7">
        <f t="shared" si="27"/>
        <v>272.5</v>
      </c>
      <c r="W117" s="74">
        <f t="shared" si="28"/>
        <v>0.15326150077721337</v>
      </c>
      <c r="X117" s="9">
        <f t="shared" si="29"/>
        <v>-43.19266986774678</v>
      </c>
      <c r="Y117" s="9">
        <f t="shared" si="17"/>
        <v>-35.047000607427755</v>
      </c>
      <c r="Z117">
        <f t="shared" si="18"/>
        <v>4.7943861844754571E-5</v>
      </c>
      <c r="AA117" s="2">
        <f t="shared" si="19"/>
        <v>503</v>
      </c>
      <c r="AB117" s="75">
        <f t="shared" si="30"/>
        <v>0.11727675448822569</v>
      </c>
      <c r="AC117">
        <f t="shared" si="33"/>
        <v>2.4115762507911549E-2</v>
      </c>
      <c r="AD117" s="75">
        <f t="shared" si="34"/>
        <v>0.12504504683961129</v>
      </c>
      <c r="AE117">
        <f t="shared" si="38"/>
        <v>2.2277502114668189E-6</v>
      </c>
      <c r="AF117">
        <f t="shared" si="40"/>
        <v>-56.521335064351064</v>
      </c>
      <c r="AG117">
        <f t="shared" si="41"/>
        <v>4.6465806586053128E-2</v>
      </c>
      <c r="AH117">
        <f t="shared" si="42"/>
        <v>37079.713655670399</v>
      </c>
      <c r="AI117">
        <f t="shared" si="43"/>
        <v>5682.8925632573782</v>
      </c>
      <c r="AJ117" s="4">
        <f t="shared" si="44"/>
        <v>6.9296872712616888E-3</v>
      </c>
      <c r="AK117" s="4">
        <f t="shared" si="45"/>
        <v>-21.59286364151534</v>
      </c>
      <c r="AL117" s="4">
        <f t="shared" si="39"/>
        <v>5529.8904424668272</v>
      </c>
      <c r="AM117" s="71">
        <v>270</v>
      </c>
    </row>
    <row r="118" spans="1:39" x14ac:dyDescent="0.25">
      <c r="A118" s="2">
        <v>20180987</v>
      </c>
      <c r="B118" s="2">
        <v>465</v>
      </c>
      <c r="C118" s="2">
        <v>4319.3599999999997</v>
      </c>
      <c r="D118" s="2">
        <v>6610.2</v>
      </c>
      <c r="E118" s="69">
        <v>43361</v>
      </c>
      <c r="F118" s="72">
        <v>24</v>
      </c>
      <c r="G118" s="2">
        <v>271</v>
      </c>
      <c r="H118" s="2">
        <v>141.30000000000001</v>
      </c>
      <c r="I118">
        <f t="shared" si="13"/>
        <v>271</v>
      </c>
      <c r="J118" s="16">
        <f t="shared" si="14"/>
        <v>2.4415694626363234</v>
      </c>
      <c r="K118" s="17">
        <f t="shared" si="15"/>
        <v>2.1501421618485588</v>
      </c>
      <c r="L118" s="2">
        <v>275</v>
      </c>
      <c r="M118" s="2">
        <v>286</v>
      </c>
      <c r="N118">
        <v>17063</v>
      </c>
      <c r="O118">
        <v>275</v>
      </c>
      <c r="P118" s="2">
        <f t="shared" si="22"/>
        <v>286</v>
      </c>
      <c r="Q118" s="2">
        <f t="shared" si="23"/>
        <v>17063</v>
      </c>
      <c r="R118" s="76">
        <f t="shared" si="24"/>
        <v>27.5</v>
      </c>
      <c r="S118">
        <f t="shared" si="25"/>
        <v>78650</v>
      </c>
      <c r="T118">
        <f t="shared" si="26"/>
        <v>7865</v>
      </c>
      <c r="U118" s="75">
        <f t="shared" si="16"/>
        <v>6.6682210305432504E-2</v>
      </c>
      <c r="V118" s="7">
        <f t="shared" si="27"/>
        <v>277.5</v>
      </c>
      <c r="W118" s="74">
        <f t="shared" si="28"/>
        <v>0.16218172192957225</v>
      </c>
      <c r="X118" s="9">
        <f t="shared" si="29"/>
        <v>-43.034740250826104</v>
      </c>
      <c r="Y118" s="9">
        <f t="shared" si="17"/>
        <v>-35.134759322177693</v>
      </c>
      <c r="Z118">
        <f t="shared" si="18"/>
        <v>4.9719410974599874E-5</v>
      </c>
      <c r="AA118" s="2">
        <f t="shared" si="19"/>
        <v>286</v>
      </c>
      <c r="AB118" s="75">
        <f t="shared" si="30"/>
        <v>6.6682210305432504E-2</v>
      </c>
      <c r="AC118">
        <f t="shared" si="33"/>
        <v>1.4219751538735564E-2</v>
      </c>
      <c r="AD118" s="75">
        <f t="shared" si="34"/>
        <v>7.3732252779711488E-2</v>
      </c>
      <c r="AE118">
        <f t="shared" si="38"/>
        <v>1.3135829516910901E-6</v>
      </c>
      <c r="AF118">
        <f t="shared" si="40"/>
        <v>-58.815424966699233</v>
      </c>
      <c r="AG118">
        <f t="shared" si="41"/>
        <v>2.6419921836205153E-2</v>
      </c>
      <c r="AH118">
        <f t="shared" ref="AH118:AH125" si="46">AG118*AA$143*1000</f>
        <v>21083.09762529171</v>
      </c>
      <c r="AI118">
        <f t="shared" si="43"/>
        <v>3419.2930764790854</v>
      </c>
      <c r="AJ118" s="4">
        <f t="shared" ref="AJ118:AJ125" si="47">AC$143*AD118</f>
        <v>4.0860591161549463E-3</v>
      </c>
      <c r="AK118" s="4">
        <f t="shared" si="45"/>
        <v>-23.886953543863505</v>
      </c>
      <c r="AL118" s="4">
        <f t="shared" ref="AL118:AL125" si="48">AJ118*AA$143*1000</f>
        <v>3260.6751746916475</v>
      </c>
      <c r="AM118" s="71">
        <v>275</v>
      </c>
    </row>
    <row r="119" spans="1:39" x14ac:dyDescent="0.25">
      <c r="A119" s="2">
        <v>20180993</v>
      </c>
      <c r="B119" s="2">
        <v>465</v>
      </c>
      <c r="C119" s="2">
        <v>4319</v>
      </c>
      <c r="D119" s="2">
        <v>6609</v>
      </c>
      <c r="E119" s="69">
        <v>43362</v>
      </c>
      <c r="F119" s="72">
        <v>1</v>
      </c>
      <c r="G119" s="2">
        <v>225</v>
      </c>
      <c r="H119" s="2">
        <v>97</v>
      </c>
      <c r="I119">
        <f t="shared" si="13"/>
        <v>225</v>
      </c>
      <c r="J119" s="16">
        <f t="shared" si="14"/>
        <v>2.3607826898732802</v>
      </c>
      <c r="K119" s="17">
        <f t="shared" si="15"/>
        <v>1.9867717342662448</v>
      </c>
      <c r="L119" s="2">
        <v>280</v>
      </c>
      <c r="M119">
        <v>213</v>
      </c>
      <c r="N119">
        <v>12612</v>
      </c>
      <c r="O119">
        <v>280</v>
      </c>
      <c r="P119" s="2">
        <f t="shared" si="22"/>
        <v>213</v>
      </c>
      <c r="Q119" s="2">
        <f t="shared" si="23"/>
        <v>12612</v>
      </c>
      <c r="R119" s="76">
        <f t="shared" si="24"/>
        <v>28</v>
      </c>
      <c r="S119">
        <f t="shared" si="25"/>
        <v>59640</v>
      </c>
      <c r="T119">
        <f t="shared" si="26"/>
        <v>5964</v>
      </c>
      <c r="U119" s="75">
        <f t="shared" si="16"/>
        <v>4.9661925856843085E-2</v>
      </c>
      <c r="V119" s="7">
        <f t="shared" si="27"/>
        <v>282.5</v>
      </c>
      <c r="W119" s="74">
        <f t="shared" si="28"/>
        <v>0.1714478280060556</v>
      </c>
      <c r="X119" s="9">
        <f t="shared" si="29"/>
        <v>-42.879630956890857</v>
      </c>
      <c r="Y119" s="9">
        <f t="shared" si="17"/>
        <v>-35.220950832971802</v>
      </c>
      <c r="Z119">
        <f t="shared" si="18"/>
        <v>5.1527242815896862E-5</v>
      </c>
      <c r="AA119" s="2">
        <f t="shared" si="19"/>
        <v>213</v>
      </c>
      <c r="AB119" s="75">
        <f t="shared" si="30"/>
        <v>4.9661925856843085E-2</v>
      </c>
      <c r="AC119">
        <f t="shared" si="33"/>
        <v>1.0975302719786032E-2</v>
      </c>
      <c r="AD119" s="75">
        <f t="shared" si="34"/>
        <v>5.6909137425130894E-2</v>
      </c>
      <c r="AE119">
        <f t="shared" si="38"/>
        <v>1.0138693705784509E-6</v>
      </c>
      <c r="AF119">
        <f t="shared" si="40"/>
        <v>-59.940179969667042</v>
      </c>
      <c r="AG119">
        <f t="shared" si="41"/>
        <v>1.967637535353739E-2</v>
      </c>
      <c r="AH119">
        <f t="shared" si="46"/>
        <v>15701.747532122838</v>
      </c>
      <c r="AI119">
        <f t="shared" si="43"/>
        <v>2692.0305102819043</v>
      </c>
      <c r="AJ119" s="4">
        <f t="shared" si="47"/>
        <v>3.1537636651793161E-3</v>
      </c>
      <c r="AK119" s="4">
        <f t="shared" si="45"/>
        <v>-25.011708546831319</v>
      </c>
      <c r="AL119" s="4">
        <f t="shared" si="48"/>
        <v>2516.7034048130945</v>
      </c>
      <c r="AM119" s="71">
        <v>280</v>
      </c>
    </row>
    <row r="120" spans="1:39" x14ac:dyDescent="0.25">
      <c r="A120" s="2">
        <v>20180993</v>
      </c>
      <c r="B120" s="2">
        <v>465</v>
      </c>
      <c r="C120" s="2">
        <v>4319</v>
      </c>
      <c r="D120" s="2">
        <v>6609</v>
      </c>
      <c r="E120" s="69">
        <v>43362</v>
      </c>
      <c r="F120" s="72">
        <v>2</v>
      </c>
      <c r="G120" s="2">
        <v>230</v>
      </c>
      <c r="H120" s="2">
        <v>83.9</v>
      </c>
      <c r="I120">
        <f t="shared" ref="I120:I142" si="49">G120</f>
        <v>230</v>
      </c>
      <c r="J120" s="16">
        <f t="shared" ref="J120:J142" si="50">LOG(I120*1.02)</f>
        <v>2.3703280077795106</v>
      </c>
      <c r="K120" s="17">
        <f t="shared" ref="K120:K142" si="51">LOG(H120)</f>
        <v>1.9237619608287002</v>
      </c>
      <c r="L120" s="2">
        <v>285</v>
      </c>
      <c r="M120">
        <v>102</v>
      </c>
      <c r="N120">
        <v>6094</v>
      </c>
      <c r="O120">
        <v>285</v>
      </c>
      <c r="P120" s="2">
        <f t="shared" si="22"/>
        <v>102</v>
      </c>
      <c r="Q120" s="2">
        <f t="shared" si="23"/>
        <v>6094</v>
      </c>
      <c r="R120" s="76">
        <f t="shared" si="24"/>
        <v>28.5</v>
      </c>
      <c r="S120">
        <f t="shared" si="25"/>
        <v>29070</v>
      </c>
      <c r="T120">
        <f t="shared" si="26"/>
        <v>2907</v>
      </c>
      <c r="U120" s="75">
        <f t="shared" si="16"/>
        <v>2.3781767311727674E-2</v>
      </c>
      <c r="V120" s="7">
        <f t="shared" si="27"/>
        <v>287.5</v>
      </c>
      <c r="W120" s="74">
        <f t="shared" si="28"/>
        <v>0.18106675208203432</v>
      </c>
      <c r="X120" s="9">
        <f t="shared" si="29"/>
        <v>-42.72724301948702</v>
      </c>
      <c r="Y120" s="9">
        <f t="shared" si="17"/>
        <v>-35.305630133730645</v>
      </c>
      <c r="Z120">
        <f t="shared" si="18"/>
        <v>5.3367357368645614E-5</v>
      </c>
      <c r="AA120" s="2">
        <f t="shared" si="19"/>
        <v>102</v>
      </c>
      <c r="AB120" s="75">
        <f t="shared" si="30"/>
        <v>2.3781767311727674E-2</v>
      </c>
      <c r="AC120">
        <f t="shared" si="33"/>
        <v>5.4434704516018529E-3</v>
      </c>
      <c r="AD120" s="75">
        <f t="shared" si="34"/>
        <v>2.8225481875901143E-2</v>
      </c>
      <c r="AE120">
        <f t="shared" si="38"/>
        <v>5.0285337010144546E-7</v>
      </c>
      <c r="AF120">
        <f t="shared" si="40"/>
        <v>-62.985586349031408</v>
      </c>
      <c r="AG120">
        <f t="shared" si="41"/>
        <v>9.422489605919307E-3</v>
      </c>
      <c r="AH120">
        <f t="shared" si="46"/>
        <v>7519.1467055236071</v>
      </c>
      <c r="AI120">
        <f t="shared" si="43"/>
        <v>1361.4674723974881</v>
      </c>
      <c r="AJ120" s="4">
        <f t="shared" si="47"/>
        <v>1.5641864066118308E-3</v>
      </c>
      <c r="AK120" s="4">
        <f t="shared" si="45"/>
        <v>-28.057114926195684</v>
      </c>
      <c r="AL120" s="4">
        <f t="shared" si="48"/>
        <v>1248.2207524762409</v>
      </c>
      <c r="AM120" s="71">
        <v>285</v>
      </c>
    </row>
    <row r="121" spans="1:39" x14ac:dyDescent="0.25">
      <c r="A121" s="2">
        <v>20180993</v>
      </c>
      <c r="B121" s="2">
        <v>465</v>
      </c>
      <c r="C121" s="2">
        <v>4319</v>
      </c>
      <c r="D121" s="2">
        <v>6609</v>
      </c>
      <c r="E121" s="69">
        <v>43362</v>
      </c>
      <c r="F121" s="72">
        <v>3</v>
      </c>
      <c r="G121" s="2">
        <v>239</v>
      </c>
      <c r="H121" s="2">
        <v>94.9</v>
      </c>
      <c r="I121">
        <f t="shared" si="49"/>
        <v>239</v>
      </c>
      <c r="J121" s="16">
        <f t="shared" si="50"/>
        <v>2.386998072710055</v>
      </c>
      <c r="K121" s="17">
        <f t="shared" si="51"/>
        <v>1.9772662124272926</v>
      </c>
      <c r="L121" s="2">
        <v>290</v>
      </c>
      <c r="M121" s="2">
        <v>85</v>
      </c>
      <c r="N121">
        <v>5014</v>
      </c>
      <c r="O121">
        <v>290</v>
      </c>
      <c r="P121" s="2">
        <f t="shared" si="22"/>
        <v>85</v>
      </c>
      <c r="Q121" s="2">
        <f t="shared" si="23"/>
        <v>5014</v>
      </c>
      <c r="R121" s="76">
        <f t="shared" si="24"/>
        <v>29</v>
      </c>
      <c r="S121">
        <f t="shared" si="25"/>
        <v>24650</v>
      </c>
      <c r="T121">
        <f t="shared" si="26"/>
        <v>2465</v>
      </c>
      <c r="U121" s="75">
        <f t="shared" si="16"/>
        <v>1.9818139426439729E-2</v>
      </c>
      <c r="V121" s="7">
        <f t="shared" si="27"/>
        <v>292.5</v>
      </c>
      <c r="W121" s="74">
        <f t="shared" si="28"/>
        <v>0.19104544091317305</v>
      </c>
      <c r="X121" s="9">
        <f t="shared" si="29"/>
        <v>-42.57748259163602</v>
      </c>
      <c r="Y121" s="9">
        <f t="shared" si="17"/>
        <v>-35.388849373572192</v>
      </c>
      <c r="Z121">
        <f t="shared" si="18"/>
        <v>5.5239754632846118E-5</v>
      </c>
      <c r="AA121" s="2">
        <f t="shared" si="19"/>
        <v>85</v>
      </c>
      <c r="AB121" s="75">
        <f t="shared" si="30"/>
        <v>1.9818139426439729E-2</v>
      </c>
      <c r="AC121">
        <f t="shared" si="33"/>
        <v>4.6953791437919197E-3</v>
      </c>
      <c r="AD121" s="75">
        <f t="shared" si="34"/>
        <v>2.434647897915632E-2</v>
      </c>
      <c r="AE121">
        <f t="shared" si="38"/>
        <v>4.3374667821793871E-7</v>
      </c>
      <c r="AF121">
        <f t="shared" si="40"/>
        <v>-63.627638381656659</v>
      </c>
      <c r="AG121">
        <f t="shared" si="41"/>
        <v>7.852074671599419E-3</v>
      </c>
      <c r="AH121">
        <f t="shared" si="46"/>
        <v>6265.9555879363361</v>
      </c>
      <c r="AI121">
        <f t="shared" si="43"/>
        <v>1197.0822480396578</v>
      </c>
      <c r="AJ121" s="4">
        <f t="shared" si="47"/>
        <v>1.3492216584820008E-3</v>
      </c>
      <c r="AK121" s="4">
        <f t="shared" si="45"/>
        <v>-28.699166958820932</v>
      </c>
      <c r="AL121" s="4">
        <f t="shared" si="48"/>
        <v>1076.6788834686365</v>
      </c>
      <c r="AM121" s="71">
        <v>290</v>
      </c>
    </row>
    <row r="122" spans="1:39" x14ac:dyDescent="0.25">
      <c r="A122" s="2">
        <v>20180993</v>
      </c>
      <c r="B122" s="2">
        <v>465</v>
      </c>
      <c r="C122" s="2">
        <v>4319</v>
      </c>
      <c r="D122" s="2">
        <v>6609</v>
      </c>
      <c r="E122" s="69">
        <v>43362</v>
      </c>
      <c r="F122" s="72">
        <v>4</v>
      </c>
      <c r="G122" s="2">
        <v>243</v>
      </c>
      <c r="H122" s="2">
        <v>103</v>
      </c>
      <c r="I122">
        <f t="shared" si="49"/>
        <v>243</v>
      </c>
      <c r="J122" s="16">
        <f t="shared" si="50"/>
        <v>2.3942064453602296</v>
      </c>
      <c r="K122" s="17">
        <f t="shared" si="51"/>
        <v>2.012837224705172</v>
      </c>
      <c r="L122">
        <v>295</v>
      </c>
      <c r="M122">
        <v>58</v>
      </c>
      <c r="N122">
        <v>3312</v>
      </c>
      <c r="O122">
        <v>295</v>
      </c>
      <c r="P122" s="2">
        <f t="shared" si="22"/>
        <v>58</v>
      </c>
      <c r="Q122" s="2">
        <f t="shared" si="23"/>
        <v>3312</v>
      </c>
      <c r="R122" s="76">
        <f t="shared" si="24"/>
        <v>29.5</v>
      </c>
      <c r="S122">
        <f t="shared" si="25"/>
        <v>17110</v>
      </c>
      <c r="T122">
        <f t="shared" si="26"/>
        <v>1711</v>
      </c>
      <c r="U122" s="75">
        <f t="shared" si="16"/>
        <v>1.3522965726276521E-2</v>
      </c>
      <c r="V122" s="7">
        <f t="shared" si="27"/>
        <v>297.5</v>
      </c>
      <c r="W122" s="74">
        <f t="shared" si="28"/>
        <v>0.20139085472376073</v>
      </c>
      <c r="X122" s="9">
        <f t="shared" si="29"/>
        <v>-42.430260598708642</v>
      </c>
      <c r="Y122" s="9">
        <f t="shared" si="17"/>
        <v>-35.47065804970368</v>
      </c>
      <c r="Z122">
        <f t="shared" si="18"/>
        <v>5.7144434608498245E-5</v>
      </c>
      <c r="AA122" s="2">
        <f t="shared" si="19"/>
        <v>58</v>
      </c>
      <c r="AB122" s="75">
        <f t="shared" si="30"/>
        <v>1.3522965726276521E-2</v>
      </c>
      <c r="AC122">
        <f t="shared" si="33"/>
        <v>3.3143772072928984E-3</v>
      </c>
      <c r="AD122" s="75">
        <f t="shared" si="34"/>
        <v>1.7185708019562516E-2</v>
      </c>
      <c r="AE122">
        <f t="shared" si="38"/>
        <v>3.0617338025307113E-7</v>
      </c>
      <c r="AF122">
        <f t="shared" si="40"/>
        <v>-65.140325710242834</v>
      </c>
      <c r="AG122">
        <f t="shared" si="41"/>
        <v>5.3578862465031357E-3</v>
      </c>
      <c r="AH122">
        <f t="shared" si="46"/>
        <v>4275.5932247095025</v>
      </c>
      <c r="AI122">
        <f t="shared" si="43"/>
        <v>861.06537397536704</v>
      </c>
      <c r="AJ122" s="4">
        <f t="shared" si="47"/>
        <v>9.5238943981151695E-4</v>
      </c>
      <c r="AK122" s="4">
        <f t="shared" si="45"/>
        <v>-30.21185428740711</v>
      </c>
      <c r="AL122" s="4">
        <f t="shared" si="48"/>
        <v>760.00677296959054</v>
      </c>
      <c r="AM122" s="71">
        <v>295</v>
      </c>
    </row>
    <row r="123" spans="1:39" x14ac:dyDescent="0.25">
      <c r="A123" s="2">
        <v>20180993</v>
      </c>
      <c r="B123" s="2">
        <v>465</v>
      </c>
      <c r="C123" s="2">
        <v>4319</v>
      </c>
      <c r="D123" s="2">
        <v>6609</v>
      </c>
      <c r="E123" s="69">
        <v>43362</v>
      </c>
      <c r="F123" s="72">
        <v>5</v>
      </c>
      <c r="G123" s="2">
        <v>239</v>
      </c>
      <c r="H123" s="2">
        <v>110.8</v>
      </c>
      <c r="I123">
        <f t="shared" si="49"/>
        <v>239</v>
      </c>
      <c r="J123" s="16">
        <f t="shared" si="50"/>
        <v>2.386998072710055</v>
      </c>
      <c r="K123" s="17">
        <f t="shared" si="51"/>
        <v>2.0445397603924111</v>
      </c>
      <c r="L123">
        <v>300</v>
      </c>
      <c r="M123">
        <v>38</v>
      </c>
      <c r="N123">
        <v>2247</v>
      </c>
      <c r="O123">
        <v>300</v>
      </c>
      <c r="P123" s="2">
        <f t="shared" si="22"/>
        <v>38</v>
      </c>
      <c r="Q123" s="2">
        <f t="shared" si="23"/>
        <v>2247</v>
      </c>
      <c r="R123" s="76">
        <f t="shared" si="24"/>
        <v>30</v>
      </c>
      <c r="S123">
        <f t="shared" si="25"/>
        <v>11400</v>
      </c>
      <c r="T123">
        <f t="shared" si="26"/>
        <v>1140</v>
      </c>
      <c r="U123" s="75">
        <f t="shared" si="16"/>
        <v>8.8598740965259975E-3</v>
      </c>
      <c r="V123" s="7">
        <f t="shared" si="27"/>
        <v>302.5</v>
      </c>
      <c r="W123" s="74">
        <f t="shared" si="28"/>
        <v>0.21210996700188225</v>
      </c>
      <c r="X123" s="9">
        <f t="shared" si="29"/>
        <v>-42.285492420230248</v>
      </c>
      <c r="Y123" s="9">
        <f t="shared" si="17"/>
        <v>-35.551103184236823</v>
      </c>
      <c r="Z123">
        <f t="shared" si="18"/>
        <v>5.908139729560232E-5</v>
      </c>
      <c r="AA123" s="2">
        <f t="shared" si="19"/>
        <v>38</v>
      </c>
      <c r="AB123" s="75">
        <f t="shared" si="30"/>
        <v>8.8598740965259975E-3</v>
      </c>
      <c r="AC123">
        <f t="shared" si="33"/>
        <v>2.2450930972328881E-3</v>
      </c>
      <c r="AD123" s="75">
        <f t="shared" si="34"/>
        <v>1.1641256270071249E-2</v>
      </c>
      <c r="AE123">
        <f t="shared" si="38"/>
        <v>2.0739574875488346E-7</v>
      </c>
      <c r="AF123">
        <f t="shared" si="40"/>
        <v>-66.832001501225719</v>
      </c>
      <c r="AG123">
        <f t="shared" si="41"/>
        <v>3.5103392649503246E-3</v>
      </c>
      <c r="AH123">
        <f t="shared" si="46"/>
        <v>2801.2507334303591</v>
      </c>
      <c r="AI123">
        <f t="shared" si="43"/>
        <v>594.17320063191198</v>
      </c>
      <c r="AJ123" s="4">
        <f t="shared" si="47"/>
        <v>6.4512963476018022E-4</v>
      </c>
      <c r="AK123" s="4">
        <f t="shared" si="45"/>
        <v>-31.903530078389988</v>
      </c>
      <c r="AL123" s="4">
        <f t="shared" si="48"/>
        <v>514.81344853862379</v>
      </c>
      <c r="AM123" s="71">
        <v>300</v>
      </c>
    </row>
    <row r="124" spans="1:39" x14ac:dyDescent="0.25">
      <c r="A124" s="2">
        <v>20180993</v>
      </c>
      <c r="B124" s="2">
        <v>465</v>
      </c>
      <c r="C124" s="2">
        <v>4319</v>
      </c>
      <c r="D124" s="2">
        <v>6609</v>
      </c>
      <c r="E124" s="69">
        <v>43362</v>
      </c>
      <c r="F124" s="72">
        <v>6</v>
      </c>
      <c r="G124" s="2">
        <v>246</v>
      </c>
      <c r="H124" s="2">
        <v>122.2</v>
      </c>
      <c r="I124">
        <f t="shared" si="49"/>
        <v>246</v>
      </c>
      <c r="J124" s="16">
        <f t="shared" si="50"/>
        <v>2.3995352788652968</v>
      </c>
      <c r="K124" s="17">
        <f t="shared" si="51"/>
        <v>2.0870712059065353</v>
      </c>
      <c r="L124">
        <v>305</v>
      </c>
      <c r="M124">
        <v>18</v>
      </c>
      <c r="N124">
        <v>836</v>
      </c>
      <c r="O124">
        <v>305</v>
      </c>
      <c r="P124" s="2">
        <f t="shared" si="22"/>
        <v>18</v>
      </c>
      <c r="Q124" s="2">
        <f t="shared" si="23"/>
        <v>836</v>
      </c>
      <c r="R124" s="76">
        <f t="shared" si="24"/>
        <v>30.5</v>
      </c>
      <c r="S124">
        <f t="shared" si="25"/>
        <v>5490</v>
      </c>
      <c r="T124">
        <f t="shared" si="26"/>
        <v>549</v>
      </c>
      <c r="U124" s="77">
        <f t="shared" si="16"/>
        <v>4.196782466775472E-3</v>
      </c>
      <c r="V124" s="7">
        <f t="shared" si="27"/>
        <v>307.5</v>
      </c>
      <c r="W124" s="74">
        <f t="shared" si="28"/>
        <v>0.22320976430110345</v>
      </c>
      <c r="X124" s="9">
        <f t="shared" si="29"/>
        <v>-42.143097597771295</v>
      </c>
      <c r="Y124" s="9">
        <f t="shared" si="17"/>
        <v>-35.630229486508043</v>
      </c>
      <c r="Z124">
        <f t="shared" si="18"/>
        <v>6.1050642694158031E-5</v>
      </c>
      <c r="AA124" s="2">
        <f t="shared" si="19"/>
        <v>18</v>
      </c>
      <c r="AB124" s="75">
        <f t="shared" si="30"/>
        <v>4.196782466775472E-3</v>
      </c>
      <c r="AC124">
        <f t="shared" si="33"/>
        <v>1.0989115684948447E-3</v>
      </c>
      <c r="AD124" s="75">
        <f t="shared" si="34"/>
        <v>5.6980760409275034E-3</v>
      </c>
      <c r="AE124">
        <f t="shared" si="38"/>
        <v>1.0151453756830565E-7</v>
      </c>
      <c r="AF124">
        <f t="shared" si="40"/>
        <v>-69.934717593901794</v>
      </c>
      <c r="AG124">
        <f t="shared" si="41"/>
        <v>1.6627922833975265E-3</v>
      </c>
      <c r="AH124">
        <f t="shared" si="46"/>
        <v>1326.9082421512262</v>
      </c>
      <c r="AI124">
        <f t="shared" si="43"/>
        <v>296.1788759797667</v>
      </c>
      <c r="AJ124" s="4">
        <f t="shared" si="47"/>
        <v>3.1577328338437097E-4</v>
      </c>
      <c r="AK124" s="4">
        <f t="shared" si="45"/>
        <v>-35.006246171066067</v>
      </c>
      <c r="AL124" s="4">
        <f t="shared" si="48"/>
        <v>251.98708014072801</v>
      </c>
      <c r="AM124" s="71">
        <v>305</v>
      </c>
    </row>
    <row r="125" spans="1:39" x14ac:dyDescent="0.25">
      <c r="A125" s="2">
        <v>20180993</v>
      </c>
      <c r="B125" s="2">
        <v>465</v>
      </c>
      <c r="C125" s="2">
        <v>4319</v>
      </c>
      <c r="D125" s="2">
        <v>6609</v>
      </c>
      <c r="E125" s="69">
        <v>43362</v>
      </c>
      <c r="F125" s="72">
        <v>7</v>
      </c>
      <c r="G125" s="2">
        <v>247</v>
      </c>
      <c r="H125" s="2">
        <v>118</v>
      </c>
      <c r="I125">
        <f t="shared" si="49"/>
        <v>247</v>
      </c>
      <c r="J125" s="16">
        <f t="shared" si="50"/>
        <v>2.4012971250215833</v>
      </c>
      <c r="K125" s="17">
        <f t="shared" si="51"/>
        <v>2.0718820073061255</v>
      </c>
      <c r="L125">
        <v>310</v>
      </c>
      <c r="M125">
        <v>12</v>
      </c>
      <c r="N125">
        <v>563</v>
      </c>
      <c r="O125">
        <v>310</v>
      </c>
      <c r="P125" s="2">
        <f t="shared" si="22"/>
        <v>12</v>
      </c>
      <c r="Q125" s="2">
        <f t="shared" si="23"/>
        <v>563</v>
      </c>
      <c r="R125" s="76">
        <f t="shared" si="24"/>
        <v>31</v>
      </c>
      <c r="S125">
        <f t="shared" si="25"/>
        <v>3720</v>
      </c>
      <c r="T125">
        <f t="shared" si="26"/>
        <v>372</v>
      </c>
      <c r="U125" s="77">
        <f t="shared" si="16"/>
        <v>2.7978549778503148E-3</v>
      </c>
      <c r="V125" s="7">
        <f t="shared" si="27"/>
        <v>312.5</v>
      </c>
      <c r="W125" s="74">
        <f t="shared" si="28"/>
        <v>0.23469724604835107</v>
      </c>
      <c r="X125" s="9">
        <f t="shared" si="29"/>
        <v>-42.002999566398131</v>
      </c>
      <c r="Y125" s="9">
        <f t="shared" si="17"/>
        <v>-35.70807950230644</v>
      </c>
      <c r="Z125">
        <f t="shared" si="18"/>
        <v>6.3052170804165345E-5</v>
      </c>
      <c r="AA125" s="2">
        <f t="shared" si="19"/>
        <v>12</v>
      </c>
      <c r="AB125" s="75">
        <f t="shared" si="30"/>
        <v>2.7978549778503148E-3</v>
      </c>
      <c r="AC125">
        <f t="shared" si="33"/>
        <v>7.5662604964998415E-4</v>
      </c>
      <c r="AD125" s="75">
        <f t="shared" si="34"/>
        <v>3.9232572383939048E-3</v>
      </c>
      <c r="AE125">
        <f t="shared" si="38"/>
        <v>6.9895108709752702E-8</v>
      </c>
      <c r="AF125">
        <f t="shared" si="40"/>
        <v>-71.555532153085451</v>
      </c>
      <c r="AG125">
        <f t="shared" si="41"/>
        <v>1.108528188931682E-3</v>
      </c>
      <c r="AH125">
        <f t="shared" si="46"/>
        <v>884.60549476748224</v>
      </c>
      <c r="AI125">
        <f t="shared" si="43"/>
        <v>207.61447346116711</v>
      </c>
      <c r="AJ125" s="4">
        <f t="shared" si="47"/>
        <v>2.1741721430721517E-4</v>
      </c>
      <c r="AK125" s="4">
        <f t="shared" si="45"/>
        <v>-36.627060730249724</v>
      </c>
      <c r="AL125" s="4">
        <f t="shared" si="48"/>
        <v>173.49893701715771</v>
      </c>
      <c r="AM125" s="71">
        <v>310</v>
      </c>
    </row>
    <row r="126" spans="1:39" x14ac:dyDescent="0.25">
      <c r="A126" s="2">
        <v>20180993</v>
      </c>
      <c r="B126" s="2">
        <v>465</v>
      </c>
      <c r="C126" s="2">
        <v>4319</v>
      </c>
      <c r="D126" s="2">
        <v>6609</v>
      </c>
      <c r="E126" s="69">
        <v>43362</v>
      </c>
      <c r="F126" s="72">
        <v>8</v>
      </c>
      <c r="G126" s="2">
        <v>250</v>
      </c>
      <c r="H126" s="2">
        <v>107.2</v>
      </c>
      <c r="I126">
        <f t="shared" si="49"/>
        <v>250</v>
      </c>
      <c r="J126" s="16">
        <f t="shared" si="50"/>
        <v>2.406540180433955</v>
      </c>
      <c r="K126" s="17">
        <f t="shared" si="51"/>
        <v>2.030194785356751</v>
      </c>
      <c r="L126">
        <v>315</v>
      </c>
      <c r="M126">
        <v>1</v>
      </c>
      <c r="N126">
        <v>60</v>
      </c>
      <c r="O126">
        <v>315</v>
      </c>
      <c r="P126" s="2">
        <f t="shared" si="22"/>
        <v>1</v>
      </c>
      <c r="Q126" s="2">
        <f t="shared" si="23"/>
        <v>60</v>
      </c>
      <c r="R126" s="76">
        <f t="shared" si="24"/>
        <v>31.5</v>
      </c>
      <c r="S126">
        <f t="shared" si="25"/>
        <v>315</v>
      </c>
      <c r="T126">
        <f t="shared" si="26"/>
        <v>31.5</v>
      </c>
      <c r="U126" s="77">
        <f t="shared" si="16"/>
        <v>2.3315458148752622E-4</v>
      </c>
      <c r="V126" s="7">
        <f t="shared" si="27"/>
        <v>317.5</v>
      </c>
      <c r="W126" s="74">
        <f t="shared" si="28"/>
        <v>0.24657942435769664</v>
      </c>
      <c r="X126" s="9">
        <f t="shared" si="29"/>
        <v>-41.865125407440118</v>
      </c>
      <c r="Y126" s="9">
        <f t="shared" si="17"/>
        <v>-35.784693751256711</v>
      </c>
      <c r="Z126">
        <f t="shared" si="18"/>
        <v>6.5085981625624553E-5</v>
      </c>
      <c r="AA126" s="2">
        <f t="shared" si="19"/>
        <v>1</v>
      </c>
      <c r="AB126" s="75">
        <f t="shared" si="30"/>
        <v>2.3315458148752622E-4</v>
      </c>
      <c r="AC126">
        <f t="shared" si="33"/>
        <v>6.5085981625624553E-5</v>
      </c>
      <c r="AD126" s="75">
        <f t="shared" si="34"/>
        <v>3.3748381865629512E-4</v>
      </c>
      <c r="AE126">
        <f t="shared" si="38"/>
        <v>6.0124704446912108E-9</v>
      </c>
      <c r="AF126">
        <f t="shared" si="40"/>
        <v>-82.209470454603689</v>
      </c>
      <c r="AG126">
        <f t="shared" si="41"/>
        <v>9.2377349077640126E-5</v>
      </c>
      <c r="AH126">
        <f>AG126*AA$143*1000</f>
        <v>73.717124563956816</v>
      </c>
      <c r="AI126">
        <f t="shared" si="43"/>
        <v>18.17712614028509</v>
      </c>
      <c r="AJ126" s="4">
        <f>AC$143*AD126</f>
        <v>1.8702518664325737E-5</v>
      </c>
      <c r="AK126" s="4">
        <f t="shared" si="45"/>
        <v>-47.280999031767962</v>
      </c>
      <c r="AL126" s="4">
        <f>AJ126*AA$143*1000</f>
        <v>14.924609894131937</v>
      </c>
      <c r="AM126" s="71">
        <v>315</v>
      </c>
    </row>
    <row r="127" spans="1:39" x14ac:dyDescent="0.25">
      <c r="A127" s="2">
        <v>20180993</v>
      </c>
      <c r="B127" s="2">
        <v>465</v>
      </c>
      <c r="C127" s="2">
        <v>4319</v>
      </c>
      <c r="D127" s="2">
        <v>6609</v>
      </c>
      <c r="E127" s="69">
        <v>43362</v>
      </c>
      <c r="F127" s="72">
        <v>9</v>
      </c>
      <c r="G127" s="2">
        <v>254</v>
      </c>
      <c r="H127" s="2">
        <v>116.3</v>
      </c>
      <c r="I127">
        <f t="shared" si="49"/>
        <v>254</v>
      </c>
      <c r="J127" s="16">
        <f t="shared" si="50"/>
        <v>2.4134338883818556</v>
      </c>
      <c r="K127" s="17">
        <f t="shared" si="51"/>
        <v>2.0655797147284485</v>
      </c>
      <c r="L127">
        <v>320</v>
      </c>
      <c r="O127">
        <v>320</v>
      </c>
      <c r="P127" s="2">
        <f t="shared" si="22"/>
        <v>0</v>
      </c>
      <c r="Q127" s="2">
        <f t="shared" si="23"/>
        <v>0</v>
      </c>
      <c r="R127" s="76">
        <f t="shared" si="24"/>
        <v>32</v>
      </c>
      <c r="S127">
        <f t="shared" si="25"/>
        <v>0</v>
      </c>
      <c r="T127">
        <f t="shared" si="26"/>
        <v>0</v>
      </c>
      <c r="U127" s="77">
        <f t="shared" si="16"/>
        <v>0</v>
      </c>
      <c r="V127" s="7">
        <f t="shared" si="27"/>
        <v>322.5</v>
      </c>
      <c r="W127" s="74">
        <f t="shared" si="28"/>
        <v>0.258863323849785</v>
      </c>
      <c r="X127" s="9">
        <f t="shared" si="29"/>
        <v>-41.729405620574276</v>
      </c>
      <c r="Y127" s="9">
        <f t="shared" si="17"/>
        <v>-35.860110853467923</v>
      </c>
      <c r="Z127">
        <f t="shared" si="18"/>
        <v>6.7152075158535439E-5</v>
      </c>
      <c r="AA127" s="2">
        <f t="shared" si="19"/>
        <v>0</v>
      </c>
      <c r="AB127" s="75">
        <f t="shared" si="30"/>
        <v>0</v>
      </c>
      <c r="AC127">
        <f t="shared" si="33"/>
        <v>0</v>
      </c>
      <c r="AD127" s="75">
        <f t="shared" si="34"/>
        <v>0</v>
      </c>
      <c r="AJ127" s="4"/>
      <c r="AK127" s="4"/>
      <c r="AL127" s="4"/>
      <c r="AM127" s="71">
        <v>320</v>
      </c>
    </row>
    <row r="128" spans="1:39" x14ac:dyDescent="0.25">
      <c r="A128" s="2">
        <v>20180993</v>
      </c>
      <c r="B128" s="2">
        <v>465</v>
      </c>
      <c r="C128" s="2">
        <v>4319</v>
      </c>
      <c r="D128" s="2">
        <v>6609</v>
      </c>
      <c r="E128" s="69">
        <v>43362</v>
      </c>
      <c r="F128" s="72">
        <v>10</v>
      </c>
      <c r="G128" s="2">
        <v>256</v>
      </c>
      <c r="H128" s="2">
        <v>132.30000000000001</v>
      </c>
      <c r="I128">
        <f t="shared" si="49"/>
        <v>256</v>
      </c>
      <c r="J128" s="16">
        <f t="shared" si="50"/>
        <v>2.4168401370737671</v>
      </c>
      <c r="K128" s="17">
        <f t="shared" si="51"/>
        <v>2.1215598441875012</v>
      </c>
      <c r="L128">
        <v>325</v>
      </c>
      <c r="O128">
        <v>325</v>
      </c>
      <c r="P128" s="2">
        <f t="shared" si="22"/>
        <v>0</v>
      </c>
      <c r="Q128" s="2">
        <f t="shared" si="23"/>
        <v>0</v>
      </c>
      <c r="R128" s="76">
        <f t="shared" si="24"/>
        <v>32.5</v>
      </c>
      <c r="S128">
        <f t="shared" si="25"/>
        <v>0</v>
      </c>
      <c r="T128">
        <f t="shared" si="26"/>
        <v>0</v>
      </c>
      <c r="U128" s="77">
        <f t="shared" si="16"/>
        <v>0</v>
      </c>
      <c r="V128" s="7">
        <f t="shared" si="27"/>
        <v>327.5</v>
      </c>
      <c r="W128" s="74">
        <f t="shared" si="28"/>
        <v>0.27155598147662374</v>
      </c>
      <c r="X128" s="9">
        <f t="shared" si="29"/>
        <v>-41.595773913443963</v>
      </c>
      <c r="Y128" s="9">
        <f t="shared" si="17"/>
        <v>-35.934367646438453</v>
      </c>
      <c r="Z128">
        <f t="shared" si="18"/>
        <v>6.925045140289815E-5</v>
      </c>
      <c r="AA128" s="2">
        <f t="shared" si="19"/>
        <v>0</v>
      </c>
      <c r="AB128" s="75">
        <f t="shared" si="30"/>
        <v>0</v>
      </c>
      <c r="AC128">
        <f t="shared" si="33"/>
        <v>0</v>
      </c>
      <c r="AD128" s="75">
        <f t="shared" si="34"/>
        <v>0</v>
      </c>
      <c r="AJ128" s="4"/>
      <c r="AK128" s="4"/>
      <c r="AL128" s="4"/>
      <c r="AM128" s="71">
        <v>325</v>
      </c>
    </row>
    <row r="129" spans="1:39" x14ac:dyDescent="0.25">
      <c r="A129" s="2">
        <v>20180993</v>
      </c>
      <c r="B129" s="2">
        <v>465</v>
      </c>
      <c r="C129" s="2">
        <v>4319</v>
      </c>
      <c r="D129" s="2">
        <v>6609</v>
      </c>
      <c r="E129" s="69">
        <v>43362</v>
      </c>
      <c r="F129" s="72">
        <v>11</v>
      </c>
      <c r="G129" s="2">
        <v>266</v>
      </c>
      <c r="H129" s="2">
        <v>173.8</v>
      </c>
      <c r="I129">
        <f t="shared" si="49"/>
        <v>266</v>
      </c>
      <c r="J129" s="16">
        <f t="shared" si="50"/>
        <v>2.4334818083929846</v>
      </c>
      <c r="K129" s="17">
        <f t="shared" si="51"/>
        <v>2.2400497721126476</v>
      </c>
      <c r="L129" s="71">
        <v>330</v>
      </c>
      <c r="M129" s="3"/>
      <c r="N129" s="3"/>
      <c r="O129">
        <v>330</v>
      </c>
      <c r="P129" s="2">
        <f t="shared" si="22"/>
        <v>0</v>
      </c>
      <c r="Q129" s="2">
        <f t="shared" si="23"/>
        <v>0</v>
      </c>
      <c r="R129" s="76">
        <f t="shared" si="24"/>
        <v>33</v>
      </c>
      <c r="S129">
        <f t="shared" si="25"/>
        <v>0</v>
      </c>
      <c r="T129">
        <f t="shared" si="26"/>
        <v>0</v>
      </c>
      <c r="U129" s="77">
        <f t="shared" si="16"/>
        <v>0</v>
      </c>
      <c r="V129" s="7">
        <f t="shared" si="27"/>
        <v>332.5</v>
      </c>
      <c r="W129" s="74">
        <f t="shared" si="28"/>
        <v>0.28466444635152377</v>
      </c>
      <c r="X129" s="9">
        <f t="shared" si="29"/>
        <v>-41.46416700721754</v>
      </c>
      <c r="Y129" s="9">
        <f t="shared" si="17"/>
        <v>-36.007499293103876</v>
      </c>
      <c r="Z129">
        <f t="shared" si="18"/>
        <v>7.138111035871243E-5</v>
      </c>
      <c r="AA129" s="2">
        <f t="shared" si="19"/>
        <v>0</v>
      </c>
      <c r="AB129" s="75">
        <f t="shared" si="30"/>
        <v>0</v>
      </c>
      <c r="AC129">
        <f t="shared" si="33"/>
        <v>0</v>
      </c>
      <c r="AD129" s="75">
        <f t="shared" si="34"/>
        <v>0</v>
      </c>
      <c r="AJ129" s="4"/>
      <c r="AK129" s="4"/>
      <c r="AL129" s="4"/>
      <c r="AM129" s="71">
        <v>330</v>
      </c>
    </row>
    <row r="130" spans="1:39" x14ac:dyDescent="0.25">
      <c r="A130" s="2">
        <v>20180993</v>
      </c>
      <c r="B130" s="2">
        <v>465</v>
      </c>
      <c r="C130" s="2">
        <v>4319</v>
      </c>
      <c r="D130" s="2">
        <v>6609</v>
      </c>
      <c r="E130" s="69">
        <v>43362</v>
      </c>
      <c r="F130" s="72">
        <v>12</v>
      </c>
      <c r="G130" s="2">
        <v>258</v>
      </c>
      <c r="H130" s="2">
        <v>146.5</v>
      </c>
      <c r="I130">
        <f t="shared" si="49"/>
        <v>258</v>
      </c>
      <c r="J130" s="16">
        <f t="shared" si="50"/>
        <v>2.4202198777251476</v>
      </c>
      <c r="K130" s="17">
        <f t="shared" si="51"/>
        <v>2.1658376246901283</v>
      </c>
      <c r="L130" s="71">
        <v>335</v>
      </c>
      <c r="M130" s="3"/>
      <c r="N130" s="3"/>
      <c r="O130">
        <v>335</v>
      </c>
      <c r="P130" s="2">
        <f t="shared" si="22"/>
        <v>0</v>
      </c>
      <c r="Q130" s="2">
        <f t="shared" si="23"/>
        <v>0</v>
      </c>
      <c r="R130" s="76">
        <f t="shared" si="24"/>
        <v>33.5</v>
      </c>
      <c r="S130">
        <f t="shared" si="25"/>
        <v>0</v>
      </c>
      <c r="T130">
        <f t="shared" si="26"/>
        <v>0</v>
      </c>
      <c r="U130" s="77">
        <f t="shared" si="16"/>
        <v>0</v>
      </c>
      <c r="V130" s="7">
        <f t="shared" si="27"/>
        <v>337.5</v>
      </c>
      <c r="W130" s="74">
        <f t="shared" si="28"/>
        <v>0.29819577958393884</v>
      </c>
      <c r="X130" s="9">
        <f t="shared" si="29"/>
        <v>-41.334524456659125</v>
      </c>
      <c r="Y130" s="9">
        <f t="shared" si="17"/>
        <v>-36.079539381820254</v>
      </c>
      <c r="Z130">
        <f t="shared" si="18"/>
        <v>7.3544052025978685E-5</v>
      </c>
      <c r="AA130" s="2">
        <f t="shared" si="19"/>
        <v>0</v>
      </c>
      <c r="AB130" s="75">
        <f t="shared" si="30"/>
        <v>0</v>
      </c>
      <c r="AC130">
        <f t="shared" si="33"/>
        <v>0</v>
      </c>
      <c r="AD130" s="75">
        <f t="shared" si="34"/>
        <v>0</v>
      </c>
      <c r="AJ130" s="4"/>
      <c r="AK130" s="4"/>
      <c r="AL130" s="4"/>
      <c r="AM130" s="71">
        <v>335</v>
      </c>
    </row>
    <row r="131" spans="1:39" x14ac:dyDescent="0.25">
      <c r="A131" s="2">
        <v>20180993</v>
      </c>
      <c r="B131" s="2">
        <v>465</v>
      </c>
      <c r="C131" s="2">
        <v>4319</v>
      </c>
      <c r="D131" s="2">
        <v>6609</v>
      </c>
      <c r="E131" s="69">
        <v>43362</v>
      </c>
      <c r="F131" s="72">
        <v>13</v>
      </c>
      <c r="G131" s="2">
        <v>267</v>
      </c>
      <c r="H131" s="2">
        <v>164.5</v>
      </c>
      <c r="I131">
        <f t="shared" si="49"/>
        <v>267</v>
      </c>
      <c r="J131" s="16">
        <f t="shared" si="50"/>
        <v>2.4351114331264929</v>
      </c>
      <c r="K131" s="17">
        <f t="shared" si="51"/>
        <v>2.2161659022859932</v>
      </c>
      <c r="L131" s="71">
        <v>340</v>
      </c>
      <c r="M131" s="3"/>
      <c r="N131" s="3"/>
      <c r="O131">
        <v>340</v>
      </c>
      <c r="P131" s="2">
        <f t="shared" si="22"/>
        <v>0</v>
      </c>
      <c r="Q131" s="2">
        <f t="shared" si="23"/>
        <v>0</v>
      </c>
      <c r="R131" s="76">
        <f t="shared" si="24"/>
        <v>34</v>
      </c>
      <c r="S131">
        <f t="shared" si="25"/>
        <v>0</v>
      </c>
      <c r="T131">
        <f t="shared" si="26"/>
        <v>0</v>
      </c>
      <c r="U131" s="77">
        <f t="shared" si="16"/>
        <v>0</v>
      </c>
      <c r="V131" s="7">
        <f t="shared" si="27"/>
        <v>342.5</v>
      </c>
      <c r="W131" s="74">
        <f t="shared" si="28"/>
        <v>0.31215705411900319</v>
      </c>
      <c r="X131" s="9">
        <f t="shared" si="29"/>
        <v>-41.206788483431119</v>
      </c>
      <c r="Y131" s="9">
        <f t="shared" si="17"/>
        <v>-36.150520018995195</v>
      </c>
      <c r="Z131">
        <f t="shared" si="18"/>
        <v>7.5739276404696373E-5</v>
      </c>
      <c r="AA131" s="2">
        <f t="shared" si="19"/>
        <v>0</v>
      </c>
      <c r="AB131" s="75">
        <f t="shared" si="30"/>
        <v>0</v>
      </c>
      <c r="AC131">
        <f t="shared" si="33"/>
        <v>0</v>
      </c>
      <c r="AD131" s="75">
        <f t="shared" si="34"/>
        <v>0</v>
      </c>
      <c r="AJ131" s="4"/>
      <c r="AK131" s="4"/>
      <c r="AL131" s="4"/>
      <c r="AM131" s="71">
        <v>340</v>
      </c>
    </row>
    <row r="132" spans="1:39" x14ac:dyDescent="0.25">
      <c r="A132" s="2">
        <v>20180993</v>
      </c>
      <c r="B132" s="2">
        <v>465</v>
      </c>
      <c r="C132" s="2">
        <v>4319</v>
      </c>
      <c r="D132" s="2">
        <v>6609</v>
      </c>
      <c r="E132" s="69">
        <v>43362</v>
      </c>
      <c r="F132" s="72">
        <v>14</v>
      </c>
      <c r="G132" s="2">
        <v>271</v>
      </c>
      <c r="H132" s="2">
        <v>149.19999999999999</v>
      </c>
      <c r="I132">
        <f t="shared" si="49"/>
        <v>271</v>
      </c>
      <c r="J132" s="16">
        <f t="shared" si="50"/>
        <v>2.4415694626363234</v>
      </c>
      <c r="K132" s="17">
        <f t="shared" si="51"/>
        <v>2.1737688231366499</v>
      </c>
      <c r="L132" s="71">
        <v>345</v>
      </c>
      <c r="M132" s="3"/>
      <c r="N132" s="3"/>
      <c r="O132">
        <v>345</v>
      </c>
      <c r="P132" s="2">
        <f t="shared" si="22"/>
        <v>0</v>
      </c>
      <c r="Q132" s="2">
        <f t="shared" si="23"/>
        <v>0</v>
      </c>
      <c r="R132" s="76">
        <f t="shared" si="24"/>
        <v>34.5</v>
      </c>
      <c r="S132">
        <f t="shared" si="25"/>
        <v>0</v>
      </c>
      <c r="T132">
        <f t="shared" si="26"/>
        <v>0</v>
      </c>
      <c r="U132" s="77">
        <f t="shared" si="16"/>
        <v>0</v>
      </c>
      <c r="V132" s="7">
        <f t="shared" si="27"/>
        <v>347.5</v>
      </c>
      <c r="W132" s="74">
        <f t="shared" si="28"/>
        <v>0.3265553545815677</v>
      </c>
      <c r="X132" s="9">
        <f t="shared" si="29"/>
        <v>-41.080903821477349</v>
      </c>
      <c r="Y132" s="9">
        <f t="shared" si="17"/>
        <v>-36.220471915005575</v>
      </c>
      <c r="Z132">
        <f t="shared" si="18"/>
        <v>7.796678349486601E-5</v>
      </c>
      <c r="AA132" s="2">
        <f t="shared" si="19"/>
        <v>0</v>
      </c>
      <c r="AB132" s="75">
        <f t="shared" si="30"/>
        <v>0</v>
      </c>
      <c r="AC132">
        <f t="shared" si="33"/>
        <v>0</v>
      </c>
      <c r="AD132" s="75">
        <f t="shared" si="34"/>
        <v>0</v>
      </c>
      <c r="AJ132" s="4"/>
      <c r="AK132" s="4"/>
      <c r="AL132" s="4"/>
      <c r="AM132" s="71">
        <v>345</v>
      </c>
    </row>
    <row r="133" spans="1:39" x14ac:dyDescent="0.25">
      <c r="A133" s="2">
        <v>20180993</v>
      </c>
      <c r="B133" s="2">
        <v>465</v>
      </c>
      <c r="C133" s="2">
        <v>4319</v>
      </c>
      <c r="D133" s="2">
        <v>6609</v>
      </c>
      <c r="E133" s="69">
        <v>43362</v>
      </c>
      <c r="F133" s="72">
        <v>15</v>
      </c>
      <c r="G133" s="2">
        <v>270</v>
      </c>
      <c r="H133" s="2">
        <v>154.5</v>
      </c>
      <c r="I133">
        <f t="shared" si="49"/>
        <v>270</v>
      </c>
      <c r="J133" s="16">
        <f t="shared" si="50"/>
        <v>2.4399639359209049</v>
      </c>
      <c r="K133" s="17">
        <f t="shared" si="51"/>
        <v>2.1889284837608534</v>
      </c>
      <c r="L133" s="71">
        <v>350</v>
      </c>
      <c r="M133" s="3"/>
      <c r="N133" s="3"/>
      <c r="O133">
        <v>350</v>
      </c>
      <c r="P133" s="2">
        <f t="shared" si="22"/>
        <v>0</v>
      </c>
      <c r="Q133" s="2">
        <f t="shared" si="23"/>
        <v>0</v>
      </c>
      <c r="R133" s="76">
        <f t="shared" si="24"/>
        <v>35</v>
      </c>
      <c r="S133">
        <f t="shared" si="25"/>
        <v>0</v>
      </c>
      <c r="T133">
        <f t="shared" si="26"/>
        <v>0</v>
      </c>
      <c r="U133" s="77">
        <f t="shared" si="16"/>
        <v>0</v>
      </c>
      <c r="V133" s="7">
        <f t="shared" si="27"/>
        <v>352.5</v>
      </c>
      <c r="W133" s="74">
        <f t="shared" si="28"/>
        <v>0.34139777712453095</v>
      </c>
      <c r="X133" s="9">
        <f t="shared" si="29"/>
        <v>-40.956817573451652</v>
      </c>
      <c r="Y133" s="9">
        <f t="shared" si="17"/>
        <v>-36.289424463977724</v>
      </c>
      <c r="Z133">
        <f t="shared" si="18"/>
        <v>8.0226573296487364E-5</v>
      </c>
      <c r="AA133" s="2">
        <f t="shared" si="19"/>
        <v>0</v>
      </c>
      <c r="AB133" s="75">
        <f t="shared" si="30"/>
        <v>0</v>
      </c>
      <c r="AC133">
        <f t="shared" si="33"/>
        <v>0</v>
      </c>
      <c r="AD133" s="75">
        <f t="shared" si="34"/>
        <v>0</v>
      </c>
      <c r="AJ133" s="4"/>
      <c r="AK133" s="4"/>
      <c r="AL133" s="4"/>
      <c r="AM133" s="71">
        <v>350</v>
      </c>
    </row>
    <row r="134" spans="1:39" x14ac:dyDescent="0.25">
      <c r="A134" s="2">
        <v>20180993</v>
      </c>
      <c r="B134" s="2">
        <v>465</v>
      </c>
      <c r="C134" s="2">
        <v>4319</v>
      </c>
      <c r="D134" s="2">
        <v>6609</v>
      </c>
      <c r="E134" s="69">
        <v>43362</v>
      </c>
      <c r="F134" s="72">
        <v>16</v>
      </c>
      <c r="G134" s="2">
        <v>265</v>
      </c>
      <c r="H134" s="2">
        <v>144.69999999999999</v>
      </c>
      <c r="I134">
        <f t="shared" si="49"/>
        <v>265</v>
      </c>
      <c r="J134" s="16">
        <f t="shared" si="50"/>
        <v>2.4318460456987254</v>
      </c>
      <c r="K134" s="17">
        <f t="shared" si="51"/>
        <v>2.1604685311190375</v>
      </c>
      <c r="L134" s="71">
        <v>355</v>
      </c>
      <c r="M134" s="3"/>
      <c r="N134" s="3"/>
      <c r="O134">
        <v>355</v>
      </c>
      <c r="P134" s="2">
        <f t="shared" si="22"/>
        <v>0</v>
      </c>
      <c r="Q134" s="2">
        <f t="shared" si="23"/>
        <v>0</v>
      </c>
      <c r="R134" s="76">
        <f t="shared" si="24"/>
        <v>35.5</v>
      </c>
      <c r="S134">
        <f t="shared" si="25"/>
        <v>0</v>
      </c>
      <c r="T134">
        <f t="shared" si="26"/>
        <v>0</v>
      </c>
      <c r="U134" s="77">
        <f t="shared" si="16"/>
        <v>0</v>
      </c>
      <c r="V134" s="7">
        <f t="shared" si="27"/>
        <v>357.5</v>
      </c>
      <c r="W134" s="74">
        <f t="shared" si="28"/>
        <v>0.35669142928130998</v>
      </c>
      <c r="X134" s="9">
        <f t="shared" si="29"/>
        <v>-40.834479077258017</v>
      </c>
      <c r="Y134" s="9">
        <f t="shared" si="17"/>
        <v>-36.357405817948759</v>
      </c>
      <c r="Z134">
        <f t="shared" si="18"/>
        <v>8.2518645809560314E-5</v>
      </c>
      <c r="AA134" s="2">
        <f t="shared" si="19"/>
        <v>0</v>
      </c>
      <c r="AB134" s="75">
        <f t="shared" si="30"/>
        <v>0</v>
      </c>
      <c r="AC134">
        <f t="shared" si="33"/>
        <v>0</v>
      </c>
      <c r="AD134" s="75">
        <f t="shared" si="34"/>
        <v>0</v>
      </c>
      <c r="AJ134" s="4"/>
      <c r="AK134" s="4"/>
      <c r="AL134" s="4"/>
      <c r="AM134" s="71">
        <v>355</v>
      </c>
    </row>
    <row r="135" spans="1:39" x14ac:dyDescent="0.25">
      <c r="A135" s="2">
        <v>20180993</v>
      </c>
      <c r="B135" s="2">
        <v>465</v>
      </c>
      <c r="C135" s="2">
        <v>4319</v>
      </c>
      <c r="D135" s="2">
        <v>6609</v>
      </c>
      <c r="E135" s="69">
        <v>43362</v>
      </c>
      <c r="F135" s="72">
        <v>17</v>
      </c>
      <c r="G135" s="2">
        <v>277</v>
      </c>
      <c r="H135" s="2">
        <v>168.4</v>
      </c>
      <c r="I135">
        <f t="shared" si="49"/>
        <v>277</v>
      </c>
      <c r="J135" s="16">
        <f t="shared" si="50"/>
        <v>2.4510799408263662</v>
      </c>
      <c r="K135" s="17">
        <f t="shared" si="51"/>
        <v>2.2263420871636308</v>
      </c>
      <c r="L135" s="71">
        <v>360</v>
      </c>
      <c r="M135" s="3"/>
      <c r="N135" s="3"/>
      <c r="O135">
        <v>360</v>
      </c>
      <c r="P135" s="2">
        <f t="shared" si="22"/>
        <v>0</v>
      </c>
      <c r="Q135" s="2">
        <f t="shared" si="23"/>
        <v>0</v>
      </c>
      <c r="R135" s="76">
        <f t="shared" si="24"/>
        <v>36</v>
      </c>
      <c r="S135">
        <f t="shared" si="25"/>
        <v>0</v>
      </c>
      <c r="T135">
        <f t="shared" si="26"/>
        <v>0</v>
      </c>
      <c r="U135" s="77">
        <f t="shared" si="16"/>
        <v>0</v>
      </c>
      <c r="V135" s="7">
        <f t="shared" si="27"/>
        <v>362.5</v>
      </c>
      <c r="W135" s="74">
        <f t="shared" si="28"/>
        <v>0.37244342982225431</v>
      </c>
      <c r="X135" s="9">
        <f t="shared" si="29"/>
        <v>-40.713839781859754</v>
      </c>
      <c r="Y135" s="9">
        <f t="shared" si="17"/>
        <v>-36.424442955877154</v>
      </c>
      <c r="Z135">
        <f t="shared" si="18"/>
        <v>8.4843001034084928E-5</v>
      </c>
      <c r="AA135" s="2">
        <f t="shared" si="19"/>
        <v>0</v>
      </c>
      <c r="AB135" s="75">
        <f t="shared" si="30"/>
        <v>0</v>
      </c>
      <c r="AC135">
        <f t="shared" si="33"/>
        <v>0</v>
      </c>
      <c r="AD135" s="75">
        <f t="shared" si="34"/>
        <v>0</v>
      </c>
      <c r="AJ135" s="4"/>
      <c r="AK135" s="4"/>
      <c r="AL135" s="4"/>
      <c r="AM135" s="71">
        <v>360</v>
      </c>
    </row>
    <row r="136" spans="1:39" x14ac:dyDescent="0.25">
      <c r="A136" s="2">
        <v>20180993</v>
      </c>
      <c r="B136" s="2">
        <v>465</v>
      </c>
      <c r="C136" s="2">
        <v>4319</v>
      </c>
      <c r="D136" s="2">
        <v>6609</v>
      </c>
      <c r="E136" s="69">
        <v>43362</v>
      </c>
      <c r="F136" s="72">
        <v>18</v>
      </c>
      <c r="G136" s="2">
        <v>298</v>
      </c>
      <c r="H136" s="2">
        <v>198.8</v>
      </c>
      <c r="I136">
        <f t="shared" si="49"/>
        <v>298</v>
      </c>
      <c r="J136" s="16">
        <f t="shared" si="50"/>
        <v>2.4828164358381728</v>
      </c>
      <c r="K136" s="17">
        <f t="shared" si="51"/>
        <v>2.2984163800612945</v>
      </c>
      <c r="L136" s="17"/>
      <c r="X136" s="9"/>
      <c r="Y136" s="9"/>
      <c r="AB136" s="78"/>
      <c r="AD136" s="75"/>
      <c r="AJ136" s="4"/>
      <c r="AK136" s="4"/>
      <c r="AL136" s="79"/>
    </row>
    <row r="137" spans="1:39" x14ac:dyDescent="0.25">
      <c r="A137" s="2">
        <v>20180993</v>
      </c>
      <c r="B137" s="2">
        <v>465</v>
      </c>
      <c r="C137" s="2">
        <v>4319</v>
      </c>
      <c r="D137" s="2">
        <v>6609</v>
      </c>
      <c r="E137" s="69">
        <v>43362</v>
      </c>
      <c r="F137" s="72">
        <v>19</v>
      </c>
      <c r="G137" s="2">
        <v>286</v>
      </c>
      <c r="H137" s="2">
        <v>205.6</v>
      </c>
      <c r="I137">
        <f t="shared" si="49"/>
        <v>286</v>
      </c>
      <c r="J137" s="16">
        <f t="shared" si="50"/>
        <v>2.4649662048909606</v>
      </c>
      <c r="K137" s="17">
        <f t="shared" si="51"/>
        <v>2.3130231103232379</v>
      </c>
      <c r="L137" s="17" t="s">
        <v>137</v>
      </c>
      <c r="M137" s="26">
        <f>SUM(M93:M135)</f>
        <v>4289</v>
      </c>
      <c r="N137">
        <f>SUM(N93:N136)</f>
        <v>239930</v>
      </c>
      <c r="O137" t="s">
        <v>138</v>
      </c>
      <c r="P137" s="4">
        <f>SUM(P93:P135)</f>
        <v>4289</v>
      </c>
      <c r="Q137">
        <f>SUM(Q93:Q135)</f>
        <v>239930</v>
      </c>
      <c r="S137">
        <f>SUM(S93:S135)</f>
        <v>1119425</v>
      </c>
      <c r="T137">
        <f>SUM(T93:T135)</f>
        <v>111942.5</v>
      </c>
      <c r="U137" s="80">
        <f>SUM(U93:U136)</f>
        <v>1</v>
      </c>
      <c r="X137" s="9"/>
      <c r="Y137" s="9"/>
      <c r="Z137">
        <f t="shared" ref="Z137:AE137" si="52">SUM(Z93:Z136)</f>
        <v>1.947757218745636E-3</v>
      </c>
      <c r="AA137">
        <f t="shared" si="52"/>
        <v>4289</v>
      </c>
      <c r="AB137" s="78">
        <f t="shared" si="52"/>
        <v>1</v>
      </c>
      <c r="AC137">
        <f t="shared" si="52"/>
        <v>0.19285659942087566</v>
      </c>
      <c r="AD137" s="78">
        <f t="shared" si="52"/>
        <v>1.0000000000000002</v>
      </c>
      <c r="AE137" s="81">
        <f t="shared" si="52"/>
        <v>1.7815581406628897E-5</v>
      </c>
      <c r="AF137" s="81"/>
      <c r="AG137" s="81">
        <f>SUM(AG93:AG136)</f>
        <v>0.39528267670322309</v>
      </c>
      <c r="AH137" s="82">
        <f>SUM(AH93:AH136)</f>
        <v>315435.57600917196</v>
      </c>
      <c r="AI137" s="83">
        <f>SUM(AI93:AI136)</f>
        <v>44025.785591979053</v>
      </c>
      <c r="AJ137" s="4">
        <f>SUM(AJ93:AJ136)</f>
        <v>5.5322747103719865E-2</v>
      </c>
      <c r="AK137" s="4"/>
      <c r="AL137" s="84">
        <f>SUM(AL93:AL136)</f>
        <v>44147.552188768444</v>
      </c>
    </row>
    <row r="138" spans="1:39" x14ac:dyDescent="0.25">
      <c r="A138" s="2">
        <v>20180993</v>
      </c>
      <c r="B138" s="2">
        <v>465</v>
      </c>
      <c r="C138" s="2">
        <v>4319</v>
      </c>
      <c r="D138" s="2">
        <v>6609</v>
      </c>
      <c r="E138" s="69">
        <v>43362</v>
      </c>
      <c r="F138" s="72">
        <v>20</v>
      </c>
      <c r="G138" s="2">
        <v>279</v>
      </c>
      <c r="H138" s="2">
        <v>180.8</v>
      </c>
      <c r="I138">
        <f t="shared" si="49"/>
        <v>279</v>
      </c>
      <c r="J138" s="16">
        <f t="shared" si="50"/>
        <v>2.4542043750355149</v>
      </c>
      <c r="K138" s="17">
        <f t="shared" si="51"/>
        <v>2.2571984261393445</v>
      </c>
      <c r="L138" s="17"/>
      <c r="M138" t="s">
        <v>179</v>
      </c>
      <c r="O138" t="s">
        <v>139</v>
      </c>
      <c r="S138" s="4">
        <f>S137/P137</f>
        <v>260.99906738167402</v>
      </c>
      <c r="T138">
        <f>T137/P137</f>
        <v>26.099906738167405</v>
      </c>
      <c r="V138">
        <f>SUMPRODUCT(V93:V135,AA93:AA135)/AA137</f>
        <v>263.49906738167402</v>
      </c>
      <c r="W138">
        <f>SUMPRODUCT(W93:W135,AA93:AA135)/AA137</f>
        <v>0.1394457579224096</v>
      </c>
      <c r="Y138" s="9"/>
      <c r="AE138">
        <f>10*LOG10(AE137)</f>
        <v>-47.492000000000012</v>
      </c>
      <c r="AI138" t="s">
        <v>140</v>
      </c>
      <c r="AJ138" t="s">
        <v>141</v>
      </c>
      <c r="AL138" t="s">
        <v>142</v>
      </c>
    </row>
    <row r="139" spans="1:39" x14ac:dyDescent="0.25">
      <c r="A139" s="2">
        <v>20180993</v>
      </c>
      <c r="B139" s="2">
        <v>465</v>
      </c>
      <c r="C139" s="2">
        <v>4319</v>
      </c>
      <c r="D139" s="2">
        <v>6609</v>
      </c>
      <c r="E139" s="69">
        <v>43362</v>
      </c>
      <c r="F139" s="72">
        <v>21</v>
      </c>
      <c r="G139" s="2">
        <v>280</v>
      </c>
      <c r="H139" s="2">
        <v>172.3</v>
      </c>
      <c r="I139">
        <f t="shared" si="49"/>
        <v>280</v>
      </c>
      <c r="J139" s="16">
        <f t="shared" si="50"/>
        <v>2.4557582031041369</v>
      </c>
      <c r="K139" s="17">
        <f t="shared" si="51"/>
        <v>2.2362852774480286</v>
      </c>
      <c r="L139" s="17"/>
      <c r="V139" t="s">
        <v>143</v>
      </c>
      <c r="W139" t="s">
        <v>144</v>
      </c>
      <c r="X139" s="9"/>
      <c r="Y139" s="9"/>
      <c r="Z139" t="s">
        <v>145</v>
      </c>
      <c r="AE139" t="s">
        <v>146</v>
      </c>
      <c r="AI139" t="s">
        <v>147</v>
      </c>
      <c r="AL139" t="s">
        <v>148</v>
      </c>
    </row>
    <row r="140" spans="1:39" x14ac:dyDescent="0.25">
      <c r="A140" s="2">
        <v>20180993</v>
      </c>
      <c r="B140" s="2">
        <v>465</v>
      </c>
      <c r="C140" s="2">
        <v>4319</v>
      </c>
      <c r="D140" s="2">
        <v>6609</v>
      </c>
      <c r="E140" s="69">
        <v>43362</v>
      </c>
      <c r="F140" s="72">
        <v>22</v>
      </c>
      <c r="G140" s="2">
        <v>286</v>
      </c>
      <c r="H140" s="2">
        <v>187.6</v>
      </c>
      <c r="I140">
        <f t="shared" si="49"/>
        <v>286</v>
      </c>
      <c r="J140" s="16">
        <f t="shared" si="50"/>
        <v>2.4649662048909606</v>
      </c>
      <c r="K140" s="17">
        <f t="shared" si="51"/>
        <v>2.2732328340430454</v>
      </c>
      <c r="L140" s="17"/>
      <c r="O140" t="s">
        <v>149</v>
      </c>
      <c r="X140" s="9"/>
      <c r="Y140" s="9"/>
      <c r="Z140" t="s">
        <v>1</v>
      </c>
      <c r="AA140" t="s">
        <v>0</v>
      </c>
      <c r="AB140" t="s">
        <v>2</v>
      </c>
      <c r="AC140" t="s">
        <v>3</v>
      </c>
      <c r="AD140" t="s">
        <v>4</v>
      </c>
    </row>
    <row r="141" spans="1:39" x14ac:dyDescent="0.25">
      <c r="A141" s="2">
        <v>20180993</v>
      </c>
      <c r="B141" s="2">
        <v>465</v>
      </c>
      <c r="C141" s="2">
        <v>4319</v>
      </c>
      <c r="D141" s="2">
        <v>6609</v>
      </c>
      <c r="E141" s="69">
        <v>43362</v>
      </c>
      <c r="F141" s="72">
        <v>23</v>
      </c>
      <c r="G141" s="2">
        <v>290</v>
      </c>
      <c r="H141" s="2">
        <v>191.9</v>
      </c>
      <c r="I141">
        <f t="shared" si="49"/>
        <v>290</v>
      </c>
      <c r="J141" s="16">
        <f t="shared" si="50"/>
        <v>2.4709981696608736</v>
      </c>
      <c r="K141" s="17">
        <f t="shared" si="51"/>
        <v>2.2830749747354715</v>
      </c>
      <c r="L141" s="17"/>
      <c r="O141" s="4" t="s">
        <v>150</v>
      </c>
      <c r="P141" s="85">
        <f>S138</f>
        <v>260.99906738167402</v>
      </c>
      <c r="X141" s="9"/>
      <c r="Y141" s="9"/>
      <c r="Z141" t="s">
        <v>7</v>
      </c>
      <c r="AA141" t="s">
        <v>8</v>
      </c>
      <c r="AB141" t="s">
        <v>9</v>
      </c>
      <c r="AC141" t="s">
        <v>10</v>
      </c>
      <c r="AD141" t="s">
        <v>3</v>
      </c>
    </row>
    <row r="142" spans="1:39" x14ac:dyDescent="0.25">
      <c r="A142" s="2">
        <v>20180993</v>
      </c>
      <c r="B142" s="2">
        <v>465</v>
      </c>
      <c r="C142" s="2">
        <v>4319</v>
      </c>
      <c r="D142" s="2">
        <v>6609</v>
      </c>
      <c r="E142" s="69">
        <v>43362</v>
      </c>
      <c r="F142" s="72">
        <v>24</v>
      </c>
      <c r="G142" s="2">
        <v>297</v>
      </c>
      <c r="H142" s="2">
        <v>214</v>
      </c>
      <c r="I142">
        <f t="shared" si="49"/>
        <v>297</v>
      </c>
      <c r="J142" s="16">
        <f t="shared" si="50"/>
        <v>2.4813566210791298</v>
      </c>
      <c r="K142" s="17">
        <f t="shared" si="51"/>
        <v>2.330413773349191</v>
      </c>
      <c r="L142" s="17"/>
      <c r="O142" s="4" t="s">
        <v>137</v>
      </c>
      <c r="P142" s="4">
        <f>P137</f>
        <v>4289</v>
      </c>
      <c r="X142" s="9"/>
      <c r="Y142" s="9"/>
      <c r="Z142" s="8" t="s">
        <v>13</v>
      </c>
      <c r="AA142" t="s">
        <v>14</v>
      </c>
      <c r="AB142" t="s">
        <v>15</v>
      </c>
      <c r="AC142" t="s">
        <v>16</v>
      </c>
      <c r="AD142" t="s">
        <v>17</v>
      </c>
    </row>
    <row r="143" spans="1:39" x14ac:dyDescent="0.25">
      <c r="A143" s="2"/>
      <c r="B143" s="2"/>
      <c r="C143" s="2"/>
      <c r="D143" s="2"/>
      <c r="E143" s="69"/>
      <c r="F143" s="72"/>
      <c r="G143" s="2"/>
      <c r="H143" s="2"/>
      <c r="J143" s="16"/>
      <c r="K143" s="17"/>
      <c r="L143" s="17"/>
      <c r="Y143" s="9" t="s">
        <v>151</v>
      </c>
      <c r="Z143" s="86">
        <f>(20*LOG(V138/10)-71.9)-10*LOG(W138)</f>
        <v>-34.928471422835713</v>
      </c>
      <c r="AA143" s="87">
        <f>AA151</f>
        <v>798</v>
      </c>
      <c r="AB143" s="87">
        <f>AB151</f>
        <v>-47.491999999999997</v>
      </c>
      <c r="AC143" s="88">
        <f>10^((AB143-Z143)/10)</f>
        <v>5.5417527094456083E-2</v>
      </c>
      <c r="AD143" s="89">
        <f>AA143*AC143*1000</f>
        <v>44223.186621375949</v>
      </c>
      <c r="AE143" s="2" t="s">
        <v>152</v>
      </c>
      <c r="AF143" s="2"/>
      <c r="AG143" s="2"/>
      <c r="AH143" s="2"/>
      <c r="AI143" s="2"/>
    </row>
    <row r="144" spans="1:39" ht="15" x14ac:dyDescent="0.25">
      <c r="A144" s="2"/>
      <c r="B144" s="2"/>
      <c r="C144" s="2"/>
      <c r="D144" s="2"/>
      <c r="E144" s="69"/>
      <c r="F144" s="72"/>
      <c r="G144" s="2"/>
      <c r="H144" s="2"/>
      <c r="J144" s="16"/>
      <c r="K144" s="17"/>
      <c r="L144" s="17" t="s">
        <v>155</v>
      </c>
      <c r="P144" s="102" t="s">
        <v>156</v>
      </c>
      <c r="Q144" s="102" t="s">
        <v>156</v>
      </c>
      <c r="R144" s="102" t="s">
        <v>156</v>
      </c>
      <c r="S144" s="102" t="s">
        <v>163</v>
      </c>
      <c r="T144" s="102" t="s">
        <v>163</v>
      </c>
      <c r="U144" s="102" t="s">
        <v>164</v>
      </c>
      <c r="V144" s="102" t="s">
        <v>165</v>
      </c>
      <c r="W144" s="102" t="s">
        <v>166</v>
      </c>
      <c r="Y144" s="9" t="s">
        <v>153</v>
      </c>
      <c r="Z144" s="90">
        <f>20*LOG(V138/10)-71.9</f>
        <v>-43.484418351473437</v>
      </c>
      <c r="AA144" s="91">
        <f>AA151</f>
        <v>798</v>
      </c>
      <c r="AB144" s="87">
        <f>AB151</f>
        <v>-47.491999999999997</v>
      </c>
      <c r="AC144" s="88">
        <f>10^((AB144-Z144)/10)</f>
        <v>0.39741278558858389</v>
      </c>
      <c r="AD144" s="82">
        <f>AA144*AC144*1000</f>
        <v>317135.40289968997</v>
      </c>
      <c r="AE144" t="s">
        <v>154</v>
      </c>
    </row>
    <row r="145" spans="1:33" ht="15" x14ac:dyDescent="0.25">
      <c r="A145" s="2"/>
      <c r="B145" s="2"/>
      <c r="C145" s="2"/>
      <c r="D145" s="2"/>
      <c r="E145" s="69"/>
      <c r="F145" s="72"/>
      <c r="G145" s="2"/>
      <c r="H145" s="2"/>
      <c r="J145" s="16"/>
      <c r="K145" s="17"/>
      <c r="L145" s="70" t="s">
        <v>119</v>
      </c>
      <c r="M145" s="2"/>
      <c r="N145" s="2"/>
      <c r="P145" s="115" t="s">
        <v>167</v>
      </c>
      <c r="Q145" s="103" t="s">
        <v>95</v>
      </c>
      <c r="R145" s="103" t="s">
        <v>168</v>
      </c>
      <c r="S145" s="115" t="s">
        <v>169</v>
      </c>
      <c r="T145" s="103" t="s">
        <v>170</v>
      </c>
      <c r="U145" s="103" t="s">
        <v>20</v>
      </c>
      <c r="V145" s="103" t="s">
        <v>160</v>
      </c>
      <c r="W145" s="103" t="s">
        <v>160</v>
      </c>
      <c r="X145" s="9"/>
      <c r="Y145" s="9"/>
      <c r="Z145" s="9"/>
      <c r="AA145" s="8"/>
      <c r="AE145" s="8"/>
      <c r="AF145" s="8"/>
    </row>
    <row r="146" spans="1:33" ht="15" x14ac:dyDescent="0.25">
      <c r="A146" s="2"/>
      <c r="B146" s="2"/>
      <c r="C146" s="2"/>
      <c r="D146" s="2"/>
      <c r="E146" s="69"/>
      <c r="F146" s="72"/>
      <c r="G146" s="2"/>
      <c r="H146" s="2"/>
      <c r="J146" s="16"/>
      <c r="K146" s="17"/>
      <c r="L146" s="71">
        <v>150</v>
      </c>
      <c r="M146" s="2"/>
      <c r="N146" s="2"/>
      <c r="P146" s="116"/>
      <c r="Q146" s="104" t="s">
        <v>160</v>
      </c>
      <c r="R146" s="104" t="s">
        <v>160</v>
      </c>
      <c r="S146" s="116"/>
      <c r="T146" s="104" t="s">
        <v>171</v>
      </c>
      <c r="U146" s="104" t="s">
        <v>172</v>
      </c>
      <c r="V146" s="104" t="s">
        <v>171</v>
      </c>
      <c r="W146" s="104" t="s">
        <v>172</v>
      </c>
      <c r="X146" s="9"/>
      <c r="Y146" s="92" t="s">
        <v>0</v>
      </c>
      <c r="Z146" s="29" t="s">
        <v>1</v>
      </c>
      <c r="AA146" s="29" t="s">
        <v>0</v>
      </c>
      <c r="AB146" s="29" t="s">
        <v>2</v>
      </c>
      <c r="AC146" s="29" t="s">
        <v>3</v>
      </c>
      <c r="AD146" s="29" t="s">
        <v>4</v>
      </c>
      <c r="AE146" s="29" t="s">
        <v>5</v>
      </c>
      <c r="AF146" s="93" t="s">
        <v>5</v>
      </c>
    </row>
    <row r="147" spans="1:33" ht="15" x14ac:dyDescent="0.25">
      <c r="A147" s="2"/>
      <c r="B147" s="2"/>
      <c r="C147" s="2"/>
      <c r="D147" s="2"/>
      <c r="E147" s="69"/>
      <c r="F147" s="72"/>
      <c r="G147" s="2"/>
      <c r="H147" s="2"/>
      <c r="J147" s="16"/>
      <c r="K147" s="17"/>
      <c r="L147" s="71">
        <v>155</v>
      </c>
      <c r="P147" s="105">
        <v>12</v>
      </c>
      <c r="Q147" s="106">
        <f>P142</f>
        <v>4289</v>
      </c>
      <c r="R147" s="106">
        <f>Q3</f>
        <v>139</v>
      </c>
      <c r="S147" s="107">
        <f>S4</f>
        <v>260.99906738167402</v>
      </c>
      <c r="T147" s="107">
        <f>S5*1000</f>
        <v>134.01852356465079</v>
      </c>
      <c r="U147" s="108">
        <f>S6</f>
        <v>-34.838869181701099</v>
      </c>
      <c r="V147" s="107">
        <f>U4*1000</f>
        <v>166.77110635824832</v>
      </c>
      <c r="W147" s="108">
        <f>U6</f>
        <v>-35.178047471896235</v>
      </c>
      <c r="X147" s="9"/>
      <c r="Y147" s="94" t="s">
        <v>6</v>
      </c>
      <c r="Z147" s="8" t="s">
        <v>7</v>
      </c>
      <c r="AA147" s="8" t="s">
        <v>8</v>
      </c>
      <c r="AB147" s="8" t="s">
        <v>9</v>
      </c>
      <c r="AC147" s="8" t="s">
        <v>10</v>
      </c>
      <c r="AD147" s="8" t="s">
        <v>3</v>
      </c>
      <c r="AE147" s="8" t="s">
        <v>11</v>
      </c>
      <c r="AF147" s="95" t="s">
        <v>11</v>
      </c>
    </row>
    <row r="148" spans="1:33" x14ac:dyDescent="0.25">
      <c r="A148" s="2"/>
      <c r="B148" s="2"/>
      <c r="C148" s="2"/>
      <c r="D148" s="2"/>
      <c r="E148" s="69"/>
      <c r="F148" s="72"/>
      <c r="G148" s="2"/>
      <c r="H148" s="2"/>
      <c r="J148" s="16"/>
      <c r="K148" s="17"/>
      <c r="L148" s="71">
        <v>160</v>
      </c>
      <c r="P148" t="s">
        <v>173</v>
      </c>
      <c r="X148" s="9"/>
      <c r="Y148" s="94" t="s">
        <v>12</v>
      </c>
      <c r="Z148" s="8" t="s">
        <v>13</v>
      </c>
      <c r="AA148" s="8" t="s">
        <v>14</v>
      </c>
      <c r="AB148" s="8" t="s">
        <v>15</v>
      </c>
      <c r="AC148" s="8" t="s">
        <v>16</v>
      </c>
      <c r="AD148" s="8" t="s">
        <v>17</v>
      </c>
      <c r="AE148" s="8" t="s">
        <v>18</v>
      </c>
      <c r="AF148" s="95" t="s">
        <v>19</v>
      </c>
    </row>
    <row r="149" spans="1:33" x14ac:dyDescent="0.25">
      <c r="A149" s="2"/>
      <c r="B149" s="2"/>
      <c r="C149" s="2"/>
      <c r="D149" s="2"/>
      <c r="E149" s="69"/>
      <c r="F149" s="72"/>
      <c r="G149" s="2"/>
      <c r="H149" s="2"/>
      <c r="J149" s="16"/>
      <c r="K149" s="17"/>
      <c r="L149" s="71">
        <v>165</v>
      </c>
      <c r="N149" t="s">
        <v>181</v>
      </c>
      <c r="O149" t="s">
        <v>182</v>
      </c>
      <c r="P149" t="s">
        <v>183</v>
      </c>
      <c r="X149" s="9"/>
      <c r="Y149" s="94" t="s">
        <v>186</v>
      </c>
      <c r="Z149" s="111">
        <v>-35.020000000000003</v>
      </c>
      <c r="AA149" s="8">
        <v>646</v>
      </c>
      <c r="AB149" s="8">
        <v>-46.607999999999997</v>
      </c>
      <c r="AC149" s="8">
        <v>6.9333000000000006E-2</v>
      </c>
      <c r="AD149" s="112">
        <v>44789.4</v>
      </c>
      <c r="AE149" s="8">
        <v>25455</v>
      </c>
      <c r="AF149" s="95">
        <v>57</v>
      </c>
    </row>
    <row r="150" spans="1:33" x14ac:dyDescent="0.25">
      <c r="A150" s="2"/>
      <c r="B150" s="2"/>
      <c r="C150" s="2"/>
      <c r="D150" s="2"/>
      <c r="E150" s="69"/>
      <c r="F150" s="72"/>
      <c r="G150" s="2"/>
      <c r="H150" s="2"/>
      <c r="J150" s="16"/>
      <c r="K150" s="17"/>
      <c r="L150" s="71">
        <v>170</v>
      </c>
      <c r="M150">
        <v>170</v>
      </c>
      <c r="N150">
        <v>1</v>
      </c>
      <c r="O150">
        <v>55</v>
      </c>
      <c r="P150">
        <v>1</v>
      </c>
      <c r="X150" s="9"/>
      <c r="Y150" s="94" t="s">
        <v>185</v>
      </c>
      <c r="Z150" s="8">
        <v>-34.92</v>
      </c>
      <c r="AA150" s="8">
        <v>152</v>
      </c>
      <c r="AB150" s="8">
        <v>-61.469000000000001</v>
      </c>
      <c r="AC150" s="8">
        <v>2.2139999999999998E-3</v>
      </c>
      <c r="AD150" s="8">
        <v>336.5</v>
      </c>
      <c r="AE150" s="8">
        <v>144</v>
      </c>
      <c r="AF150" s="95">
        <v>43</v>
      </c>
    </row>
    <row r="151" spans="1:33" x14ac:dyDescent="0.25">
      <c r="A151" s="2"/>
      <c r="B151" s="2"/>
      <c r="C151" s="2"/>
      <c r="D151" s="2"/>
      <c r="E151" s="69"/>
      <c r="F151" s="72"/>
      <c r="G151" s="2"/>
      <c r="H151" s="2"/>
      <c r="J151" s="16"/>
      <c r="K151" s="17"/>
      <c r="L151" s="71">
        <v>175</v>
      </c>
      <c r="X151" s="9"/>
      <c r="Y151" s="94" t="s">
        <v>188</v>
      </c>
      <c r="Z151" s="8">
        <v>-34.97</v>
      </c>
      <c r="AA151" s="8">
        <v>798</v>
      </c>
      <c r="AB151" s="8">
        <v>-47.491999999999997</v>
      </c>
      <c r="AC151" s="8">
        <v>5.6500000000000002E-2</v>
      </c>
      <c r="AD151" s="10">
        <v>45125.9</v>
      </c>
      <c r="AE151" s="8">
        <v>25455.407303753756</v>
      </c>
      <c r="AF151" s="95">
        <v>0.56409749841562729</v>
      </c>
    </row>
    <row r="152" spans="1:33" x14ac:dyDescent="0.25">
      <c r="A152" s="2"/>
      <c r="B152" s="2"/>
      <c r="C152" s="2"/>
      <c r="D152" s="2"/>
      <c r="E152" s="69"/>
      <c r="F152" s="72"/>
      <c r="G152" s="2"/>
      <c r="H152" s="2"/>
      <c r="J152" s="16"/>
      <c r="K152" s="17"/>
      <c r="L152" s="71">
        <v>180</v>
      </c>
      <c r="Y152" s="96"/>
      <c r="Z152" s="97"/>
      <c r="AA152" s="97"/>
      <c r="AB152" s="97"/>
      <c r="AC152" s="97"/>
      <c r="AD152" s="97"/>
      <c r="AE152" s="97"/>
      <c r="AF152" s="98"/>
    </row>
    <row r="153" spans="1:33" x14ac:dyDescent="0.25">
      <c r="A153" s="2"/>
      <c r="B153" s="2"/>
      <c r="C153" s="2"/>
      <c r="D153" s="2"/>
      <c r="E153" s="69"/>
      <c r="F153" s="72"/>
      <c r="G153" s="2"/>
      <c r="H153" s="2"/>
      <c r="J153" s="16"/>
      <c r="K153" s="17"/>
      <c r="L153" s="71">
        <v>185</v>
      </c>
      <c r="Z153" s="7"/>
      <c r="AA153" s="8"/>
      <c r="AB153" s="8"/>
      <c r="AC153" s="8"/>
      <c r="AD153" s="8"/>
      <c r="AE153" s="8"/>
      <c r="AF153" s="8"/>
      <c r="AG153" s="8"/>
    </row>
    <row r="154" spans="1:33" x14ac:dyDescent="0.25">
      <c r="A154" s="2"/>
      <c r="B154" s="2"/>
      <c r="C154" s="2"/>
      <c r="D154" s="2"/>
      <c r="E154" s="69"/>
      <c r="F154" s="72"/>
      <c r="G154" s="2"/>
      <c r="H154" s="2"/>
      <c r="J154" s="16"/>
      <c r="K154" s="17"/>
      <c r="L154" s="71">
        <v>190</v>
      </c>
      <c r="Y154" s="1"/>
      <c r="AG154" s="8"/>
    </row>
    <row r="155" spans="1:33" x14ac:dyDescent="0.25">
      <c r="A155" s="2"/>
      <c r="B155" s="2"/>
      <c r="C155" s="2"/>
      <c r="D155" s="2"/>
      <c r="E155" s="69"/>
      <c r="F155" s="72"/>
      <c r="G155" s="2"/>
      <c r="H155" s="2"/>
      <c r="J155" s="16"/>
      <c r="K155" s="17"/>
      <c r="L155" s="71">
        <v>195</v>
      </c>
      <c r="AG155" s="8"/>
    </row>
    <row r="156" spans="1:33" x14ac:dyDescent="0.25">
      <c r="A156" s="2"/>
      <c r="B156" s="2"/>
      <c r="C156" s="2"/>
      <c r="D156" s="2"/>
      <c r="E156" s="69"/>
      <c r="F156" s="72"/>
      <c r="G156" s="2"/>
      <c r="H156" s="2"/>
      <c r="J156" s="16"/>
      <c r="K156" s="17"/>
      <c r="L156" s="71">
        <v>200</v>
      </c>
      <c r="AG156" s="8"/>
    </row>
    <row r="157" spans="1:33" x14ac:dyDescent="0.25">
      <c r="A157" s="2"/>
      <c r="B157" s="2"/>
      <c r="C157" s="2"/>
      <c r="D157" s="2"/>
      <c r="E157" s="69"/>
      <c r="F157" s="72"/>
      <c r="G157" s="2"/>
      <c r="H157" s="2"/>
      <c r="J157" s="16"/>
      <c r="K157" s="17"/>
      <c r="L157" s="71">
        <v>205</v>
      </c>
      <c r="AG157" s="8"/>
    </row>
    <row r="158" spans="1:33" x14ac:dyDescent="0.25">
      <c r="A158" s="2"/>
      <c r="B158" s="2"/>
      <c r="C158" s="2"/>
      <c r="D158" s="2"/>
      <c r="E158" s="69"/>
      <c r="F158" s="72"/>
      <c r="G158" s="2"/>
      <c r="H158" s="2"/>
      <c r="J158" s="16"/>
      <c r="K158" s="17"/>
      <c r="L158" s="71">
        <v>210</v>
      </c>
      <c r="AD158" s="99"/>
      <c r="AG158" s="8"/>
    </row>
    <row r="159" spans="1:33" x14ac:dyDescent="0.25">
      <c r="A159" s="2"/>
      <c r="B159" s="2"/>
      <c r="C159" s="2"/>
      <c r="D159" s="2"/>
      <c r="E159" s="69"/>
      <c r="F159" s="72"/>
      <c r="G159" s="2"/>
      <c r="H159" s="2"/>
      <c r="J159" s="16"/>
      <c r="K159" s="17"/>
      <c r="L159" s="71">
        <v>215</v>
      </c>
      <c r="M159">
        <v>215</v>
      </c>
      <c r="N159">
        <v>1</v>
      </c>
      <c r="O159">
        <v>16</v>
      </c>
      <c r="P159">
        <v>1</v>
      </c>
      <c r="AD159" s="99"/>
      <c r="AG159" s="8"/>
    </row>
    <row r="160" spans="1:33" x14ac:dyDescent="0.25">
      <c r="A160" s="2"/>
      <c r="B160" s="2"/>
      <c r="C160" s="2"/>
      <c r="D160" s="2"/>
      <c r="E160" s="69"/>
      <c r="F160" s="72"/>
      <c r="G160" s="2"/>
      <c r="H160" s="2"/>
      <c r="J160" s="16"/>
      <c r="K160" s="17"/>
      <c r="L160" s="71">
        <v>220</v>
      </c>
      <c r="M160">
        <v>220</v>
      </c>
      <c r="N160">
        <v>1</v>
      </c>
      <c r="O160">
        <v>16</v>
      </c>
      <c r="P160">
        <v>1</v>
      </c>
      <c r="AD160" s="99"/>
    </row>
    <row r="161" spans="1:16" x14ac:dyDescent="0.25">
      <c r="A161" s="2"/>
      <c r="B161" s="2"/>
      <c r="C161" s="2"/>
      <c r="D161" s="2"/>
      <c r="E161" s="69"/>
      <c r="F161" s="72"/>
      <c r="G161" s="2"/>
      <c r="H161" s="2"/>
      <c r="J161" s="16"/>
      <c r="K161" s="17"/>
      <c r="L161" s="71">
        <v>225</v>
      </c>
      <c r="M161" s="2">
        <v>225</v>
      </c>
      <c r="N161" s="2">
        <v>8</v>
      </c>
      <c r="O161">
        <v>219</v>
      </c>
      <c r="P161">
        <v>4</v>
      </c>
    </row>
    <row r="162" spans="1:16" x14ac:dyDescent="0.25">
      <c r="A162" s="2"/>
      <c r="B162" s="2"/>
      <c r="C162" s="2"/>
      <c r="D162" s="2"/>
      <c r="E162" s="69"/>
      <c r="F162" s="72"/>
      <c r="G162" s="2"/>
      <c r="H162" s="2"/>
      <c r="J162" s="16"/>
      <c r="K162" s="17"/>
      <c r="L162" s="71">
        <v>230</v>
      </c>
      <c r="M162" s="2">
        <v>230</v>
      </c>
      <c r="N162" s="2">
        <v>53</v>
      </c>
      <c r="O162">
        <v>2311</v>
      </c>
      <c r="P162">
        <v>18</v>
      </c>
    </row>
    <row r="163" spans="1:16" x14ac:dyDescent="0.25">
      <c r="A163" s="2"/>
      <c r="B163" s="2"/>
      <c r="C163" s="2"/>
      <c r="D163" s="2"/>
      <c r="E163" s="69"/>
      <c r="F163" s="72"/>
      <c r="G163" s="2"/>
      <c r="H163" s="2"/>
      <c r="J163" s="16"/>
      <c r="K163" s="17"/>
      <c r="L163" s="71">
        <v>235</v>
      </c>
      <c r="M163" s="2">
        <v>235</v>
      </c>
      <c r="N163" s="2">
        <v>104</v>
      </c>
      <c r="O163">
        <v>4758</v>
      </c>
      <c r="P163">
        <v>21</v>
      </c>
    </row>
    <row r="164" spans="1:16" x14ac:dyDescent="0.25">
      <c r="A164" s="2"/>
      <c r="B164" s="2"/>
      <c r="C164" s="2"/>
      <c r="D164" s="2"/>
      <c r="E164" s="69"/>
      <c r="F164" s="72"/>
      <c r="G164" s="2"/>
      <c r="H164" s="2"/>
      <c r="J164" s="16"/>
      <c r="K164" s="17"/>
      <c r="L164" s="71">
        <v>240</v>
      </c>
      <c r="M164" s="2">
        <v>240</v>
      </c>
      <c r="N164" s="2">
        <v>236</v>
      </c>
      <c r="O164">
        <v>11506</v>
      </c>
      <c r="P164">
        <v>23</v>
      </c>
    </row>
    <row r="165" spans="1:16" x14ac:dyDescent="0.25">
      <c r="A165" s="2"/>
      <c r="B165" s="2"/>
      <c r="C165" s="2"/>
      <c r="D165" s="2"/>
      <c r="E165" s="69"/>
      <c r="F165" s="72"/>
      <c r="G165" s="2"/>
      <c r="H165" s="2"/>
      <c r="J165" s="16"/>
      <c r="K165" s="17"/>
      <c r="L165" s="71">
        <v>245</v>
      </c>
      <c r="M165" s="2">
        <v>245</v>
      </c>
      <c r="N165" s="2">
        <v>312</v>
      </c>
      <c r="O165">
        <v>16694</v>
      </c>
      <c r="P165">
        <v>23</v>
      </c>
    </row>
    <row r="166" spans="1:16" x14ac:dyDescent="0.25">
      <c r="E166" s="15"/>
      <c r="F166" s="76"/>
      <c r="J166" s="16"/>
      <c r="K166" s="17"/>
      <c r="L166" s="71">
        <v>250</v>
      </c>
      <c r="M166" s="2">
        <v>250</v>
      </c>
      <c r="N166" s="2">
        <v>530</v>
      </c>
      <c r="O166">
        <v>28754</v>
      </c>
      <c r="P166">
        <v>23</v>
      </c>
    </row>
    <row r="167" spans="1:16" x14ac:dyDescent="0.25">
      <c r="E167" s="15"/>
      <c r="F167" s="76"/>
      <c r="J167" s="16"/>
      <c r="K167" s="17"/>
      <c r="L167" s="71">
        <v>255</v>
      </c>
      <c r="M167" s="2">
        <v>255</v>
      </c>
      <c r="N167" s="2">
        <v>532</v>
      </c>
      <c r="O167">
        <v>30355</v>
      </c>
      <c r="P167">
        <v>23</v>
      </c>
    </row>
    <row r="168" spans="1:16" x14ac:dyDescent="0.25">
      <c r="E168" s="15"/>
      <c r="F168" s="76"/>
      <c r="J168" s="16"/>
      <c r="K168" s="17"/>
      <c r="L168" s="71">
        <v>260</v>
      </c>
      <c r="M168" s="2">
        <v>260</v>
      </c>
      <c r="N168" s="2">
        <v>695</v>
      </c>
      <c r="O168">
        <v>39695</v>
      </c>
      <c r="P168">
        <v>23</v>
      </c>
    </row>
    <row r="169" spans="1:16" x14ac:dyDescent="0.25">
      <c r="E169" s="15"/>
      <c r="F169" s="76"/>
      <c r="J169" s="16"/>
      <c r="K169" s="17"/>
      <c r="L169" s="71">
        <v>265</v>
      </c>
      <c r="M169" s="2">
        <v>265</v>
      </c>
      <c r="N169" s="2">
        <v>501</v>
      </c>
      <c r="O169">
        <v>27869</v>
      </c>
      <c r="P169">
        <v>23</v>
      </c>
    </row>
    <row r="170" spans="1:16" x14ac:dyDescent="0.25">
      <c r="E170" s="15"/>
      <c r="F170" s="76"/>
      <c r="J170" s="16"/>
      <c r="K170" s="17"/>
      <c r="L170" s="71">
        <v>270</v>
      </c>
      <c r="M170" s="2">
        <v>270</v>
      </c>
      <c r="N170" s="2">
        <v>503</v>
      </c>
      <c r="O170">
        <v>29936</v>
      </c>
      <c r="P170">
        <v>23</v>
      </c>
    </row>
    <row r="171" spans="1:16" x14ac:dyDescent="0.25">
      <c r="E171" s="15"/>
      <c r="F171" s="76"/>
      <c r="J171" s="16"/>
      <c r="K171" s="17"/>
      <c r="L171" s="71">
        <v>275</v>
      </c>
      <c r="M171" s="2">
        <v>275</v>
      </c>
      <c r="N171" s="2">
        <v>286</v>
      </c>
      <c r="O171">
        <v>17063</v>
      </c>
      <c r="P171">
        <v>23</v>
      </c>
    </row>
    <row r="172" spans="1:16" x14ac:dyDescent="0.25">
      <c r="E172" s="15"/>
      <c r="F172" s="76"/>
      <c r="J172" s="16"/>
      <c r="K172" s="17"/>
      <c r="L172" s="71">
        <v>280</v>
      </c>
      <c r="M172" s="2">
        <v>280</v>
      </c>
      <c r="N172">
        <v>213</v>
      </c>
      <c r="O172">
        <v>12612</v>
      </c>
      <c r="P172">
        <v>23</v>
      </c>
    </row>
    <row r="173" spans="1:16" x14ac:dyDescent="0.25">
      <c r="E173" s="15"/>
      <c r="F173" s="76"/>
      <c r="J173" s="16"/>
      <c r="K173" s="17"/>
      <c r="L173" s="71">
        <v>285</v>
      </c>
      <c r="M173" s="2">
        <v>285</v>
      </c>
      <c r="N173">
        <v>102</v>
      </c>
      <c r="O173">
        <v>6094</v>
      </c>
      <c r="P173">
        <v>23</v>
      </c>
    </row>
    <row r="174" spans="1:16" x14ac:dyDescent="0.25">
      <c r="E174" s="15"/>
      <c r="F174" s="76"/>
      <c r="J174" s="16"/>
      <c r="K174" s="17"/>
      <c r="L174" s="71">
        <v>290</v>
      </c>
      <c r="M174" s="2">
        <v>290</v>
      </c>
      <c r="N174" s="2">
        <v>85</v>
      </c>
      <c r="O174">
        <v>5014</v>
      </c>
      <c r="P174">
        <v>18</v>
      </c>
    </row>
    <row r="175" spans="1:16" x14ac:dyDescent="0.25">
      <c r="E175" s="15"/>
      <c r="F175" s="76"/>
      <c r="J175" s="16"/>
      <c r="K175" s="17"/>
      <c r="L175" s="71">
        <v>295</v>
      </c>
      <c r="M175">
        <v>295</v>
      </c>
      <c r="N175">
        <v>58</v>
      </c>
      <c r="O175">
        <v>3312</v>
      </c>
      <c r="P175">
        <v>18</v>
      </c>
    </row>
    <row r="176" spans="1:16" x14ac:dyDescent="0.25">
      <c r="E176" s="15"/>
      <c r="F176" s="76"/>
      <c r="J176" s="16"/>
      <c r="K176" s="17"/>
      <c r="L176" s="71">
        <v>300</v>
      </c>
      <c r="M176">
        <v>300</v>
      </c>
      <c r="N176">
        <v>38</v>
      </c>
      <c r="O176">
        <v>2247</v>
      </c>
      <c r="P176">
        <v>16</v>
      </c>
    </row>
    <row r="177" spans="5:16" x14ac:dyDescent="0.25">
      <c r="E177" s="15"/>
      <c r="F177" s="76"/>
      <c r="J177" s="16"/>
      <c r="K177" s="17"/>
      <c r="L177" s="71">
        <v>305</v>
      </c>
      <c r="M177">
        <v>305</v>
      </c>
      <c r="N177">
        <v>18</v>
      </c>
      <c r="O177">
        <v>836</v>
      </c>
      <c r="P177">
        <v>10</v>
      </c>
    </row>
    <row r="178" spans="5:16" x14ac:dyDescent="0.25">
      <c r="E178" s="15"/>
      <c r="F178" s="76"/>
      <c r="J178" s="16"/>
      <c r="K178" s="17"/>
      <c r="L178" s="71">
        <v>310</v>
      </c>
      <c r="M178">
        <v>310</v>
      </c>
      <c r="N178">
        <v>12</v>
      </c>
      <c r="O178">
        <v>563</v>
      </c>
      <c r="P178">
        <v>7</v>
      </c>
    </row>
    <row r="179" spans="5:16" x14ac:dyDescent="0.25">
      <c r="E179" s="15"/>
      <c r="F179" s="76"/>
      <c r="J179" s="16"/>
      <c r="K179" s="17"/>
      <c r="L179" s="71">
        <v>315</v>
      </c>
      <c r="M179">
        <v>315</v>
      </c>
      <c r="N179">
        <v>1</v>
      </c>
      <c r="O179">
        <v>60</v>
      </c>
      <c r="P179">
        <v>1</v>
      </c>
    </row>
    <row r="180" spans="5:16" x14ac:dyDescent="0.25">
      <c r="E180" s="15"/>
      <c r="F180" s="76"/>
      <c r="J180" s="16"/>
      <c r="K180" s="17"/>
      <c r="L180" s="71">
        <v>320</v>
      </c>
    </row>
    <row r="181" spans="5:16" x14ac:dyDescent="0.25">
      <c r="E181" s="15"/>
      <c r="F181" s="76"/>
      <c r="J181" s="16"/>
      <c r="K181" s="17"/>
      <c r="L181" s="71">
        <v>325</v>
      </c>
    </row>
    <row r="182" spans="5:16" x14ac:dyDescent="0.25">
      <c r="E182" s="15"/>
      <c r="F182" s="76"/>
      <c r="J182" s="16"/>
      <c r="K182" s="17"/>
      <c r="L182" s="71"/>
    </row>
    <row r="183" spans="5:16" x14ac:dyDescent="0.25">
      <c r="E183" s="15"/>
      <c r="F183" s="76"/>
      <c r="J183" s="16"/>
      <c r="K183" s="17"/>
      <c r="L183" s="71"/>
    </row>
    <row r="184" spans="5:16" x14ac:dyDescent="0.25">
      <c r="E184" s="15"/>
      <c r="F184" s="76"/>
      <c r="J184" s="16"/>
      <c r="K184" s="17"/>
      <c r="L184" s="71"/>
    </row>
    <row r="185" spans="5:16" x14ac:dyDescent="0.25">
      <c r="E185" s="15"/>
      <c r="F185" s="76"/>
      <c r="J185" s="16"/>
      <c r="K185" s="17"/>
      <c r="L185" s="71"/>
    </row>
    <row r="186" spans="5:16" x14ac:dyDescent="0.25">
      <c r="E186" s="15"/>
      <c r="F186" s="76"/>
      <c r="J186" s="16"/>
      <c r="K186" s="17"/>
      <c r="L186" s="71"/>
    </row>
    <row r="187" spans="5:16" x14ac:dyDescent="0.25">
      <c r="E187" s="15"/>
      <c r="F187" s="76"/>
      <c r="J187" s="16"/>
      <c r="K187" s="17"/>
      <c r="L187" s="71"/>
      <c r="M187" s="2"/>
      <c r="N187" s="2"/>
    </row>
    <row r="188" spans="5:16" x14ac:dyDescent="0.25">
      <c r="E188" s="15"/>
      <c r="F188" s="76"/>
      <c r="J188" s="16"/>
      <c r="K188" s="17"/>
      <c r="L188" s="71"/>
      <c r="M188" s="2"/>
      <c r="N188" s="2"/>
    </row>
    <row r="189" spans="5:16" x14ac:dyDescent="0.25">
      <c r="E189" s="15"/>
      <c r="F189" s="76"/>
      <c r="J189" s="16"/>
      <c r="K189" s="17"/>
      <c r="M189" s="2"/>
      <c r="N189" s="2"/>
    </row>
    <row r="190" spans="5:16" x14ac:dyDescent="0.25">
      <c r="E190" s="15"/>
      <c r="F190" s="76"/>
      <c r="J190" s="16"/>
      <c r="K190" s="17"/>
    </row>
    <row r="191" spans="5:16" x14ac:dyDescent="0.25">
      <c r="E191" s="15"/>
      <c r="F191" s="76"/>
      <c r="J191" s="16"/>
      <c r="K191" s="17"/>
      <c r="N191">
        <f>SUM(N150:N190)</f>
        <v>4290</v>
      </c>
      <c r="O191">
        <f>SUM(O150:O190)</f>
        <v>239985</v>
      </c>
      <c r="P191">
        <f>SUM(P150:P190)</f>
        <v>346</v>
      </c>
    </row>
    <row r="192" spans="5:16" x14ac:dyDescent="0.25">
      <c r="E192" s="15"/>
      <c r="F192" s="76"/>
      <c r="J192" s="16"/>
      <c r="K192" s="17"/>
    </row>
    <row r="193" spans="5:11" x14ac:dyDescent="0.25">
      <c r="E193" s="15"/>
      <c r="F193" s="76"/>
      <c r="J193" s="16"/>
      <c r="K193" s="17"/>
    </row>
    <row r="194" spans="5:11" x14ac:dyDescent="0.25">
      <c r="E194" s="15"/>
      <c r="F194" s="76"/>
      <c r="J194" s="16"/>
      <c r="K194" s="17"/>
    </row>
    <row r="195" spans="5:11" x14ac:dyDescent="0.25">
      <c r="E195" s="15"/>
      <c r="F195" s="76"/>
      <c r="J195" s="16"/>
      <c r="K195" s="17"/>
    </row>
    <row r="196" spans="5:11" x14ac:dyDescent="0.25">
      <c r="E196" s="15"/>
      <c r="F196" s="76"/>
      <c r="J196" s="16"/>
      <c r="K196" s="17"/>
    </row>
    <row r="197" spans="5:11" x14ac:dyDescent="0.25">
      <c r="E197" s="15"/>
      <c r="F197" s="76"/>
      <c r="J197" s="16"/>
      <c r="K197" s="17"/>
    </row>
    <row r="198" spans="5:11" x14ac:dyDescent="0.25">
      <c r="E198" s="15"/>
      <c r="F198" s="76"/>
      <c r="J198" s="16"/>
      <c r="K198" s="17"/>
    </row>
    <row r="199" spans="5:11" x14ac:dyDescent="0.25">
      <c r="E199" s="15"/>
      <c r="F199" s="76"/>
      <c r="J199" s="16"/>
      <c r="K199" s="17"/>
    </row>
    <row r="200" spans="5:11" x14ac:dyDescent="0.25">
      <c r="E200" s="15"/>
      <c r="F200" s="76"/>
      <c r="J200" s="16"/>
      <c r="K200" s="17"/>
    </row>
    <row r="201" spans="5:11" x14ac:dyDescent="0.25">
      <c r="E201" s="15"/>
      <c r="F201" s="76"/>
      <c r="J201" s="16"/>
      <c r="K201" s="17"/>
    </row>
    <row r="202" spans="5:11" x14ac:dyDescent="0.25">
      <c r="E202" s="15"/>
      <c r="F202" s="76"/>
      <c r="J202" s="16"/>
      <c r="K202" s="17"/>
    </row>
    <row r="203" spans="5:11" x14ac:dyDescent="0.25">
      <c r="E203" s="15"/>
      <c r="F203" s="76"/>
      <c r="J203" s="16"/>
      <c r="K203" s="17"/>
    </row>
    <row r="204" spans="5:11" x14ac:dyDescent="0.25">
      <c r="E204" s="15"/>
      <c r="F204" s="76"/>
      <c r="J204" s="16"/>
      <c r="K204" s="17"/>
    </row>
    <row r="205" spans="5:11" x14ac:dyDescent="0.25">
      <c r="E205" s="15"/>
      <c r="F205" s="76"/>
      <c r="J205" s="16"/>
      <c r="K205" s="17"/>
    </row>
    <row r="206" spans="5:11" x14ac:dyDescent="0.25">
      <c r="E206" s="15"/>
      <c r="F206" s="76"/>
      <c r="J206" s="16"/>
      <c r="K206" s="17"/>
    </row>
    <row r="207" spans="5:11" x14ac:dyDescent="0.25">
      <c r="E207" s="15"/>
      <c r="F207" s="76"/>
      <c r="J207" s="16"/>
      <c r="K207" s="17"/>
    </row>
    <row r="208" spans="5:11" x14ac:dyDescent="0.25">
      <c r="E208" s="15"/>
      <c r="F208" s="76"/>
      <c r="J208" s="16"/>
      <c r="K208" s="17"/>
    </row>
    <row r="209" spans="5:11" x14ac:dyDescent="0.25">
      <c r="E209" s="15"/>
      <c r="F209" s="76"/>
      <c r="J209" s="16"/>
      <c r="K209" s="17"/>
    </row>
    <row r="210" spans="5:11" x14ac:dyDescent="0.25">
      <c r="E210" s="15"/>
      <c r="F210" s="76"/>
      <c r="J210" s="16"/>
      <c r="K210" s="17"/>
    </row>
    <row r="211" spans="5:11" x14ac:dyDescent="0.25">
      <c r="E211" s="15"/>
      <c r="F211" s="76"/>
      <c r="J211" s="16"/>
      <c r="K211" s="17"/>
    </row>
    <row r="212" spans="5:11" x14ac:dyDescent="0.25">
      <c r="E212" s="15"/>
      <c r="F212" s="76"/>
      <c r="J212" s="16"/>
      <c r="K212" s="17"/>
    </row>
    <row r="213" spans="5:11" x14ac:dyDescent="0.25">
      <c r="E213" s="15"/>
      <c r="F213" s="76"/>
      <c r="J213" s="16"/>
      <c r="K213" s="17"/>
    </row>
    <row r="214" spans="5:11" x14ac:dyDescent="0.25">
      <c r="E214" s="15"/>
      <c r="F214" s="76"/>
      <c r="J214" s="16"/>
      <c r="K214" s="17"/>
    </row>
    <row r="215" spans="5:11" x14ac:dyDescent="0.25">
      <c r="E215" s="15"/>
      <c r="F215" s="76"/>
      <c r="J215" s="16"/>
      <c r="K215" s="17"/>
    </row>
    <row r="216" spans="5:11" x14ac:dyDescent="0.25">
      <c r="E216" s="15"/>
      <c r="F216" s="76"/>
      <c r="J216" s="16"/>
      <c r="K216" s="17"/>
    </row>
    <row r="217" spans="5:11" x14ac:dyDescent="0.25">
      <c r="E217" s="15"/>
      <c r="F217" s="76"/>
      <c r="J217" s="16"/>
      <c r="K217" s="17"/>
    </row>
    <row r="218" spans="5:11" x14ac:dyDescent="0.25">
      <c r="E218" s="15"/>
      <c r="F218" s="76"/>
      <c r="J218" s="16"/>
      <c r="K218" s="17"/>
    </row>
    <row r="219" spans="5:11" x14ac:dyDescent="0.25">
      <c r="E219" s="15"/>
      <c r="F219" s="76"/>
      <c r="J219" s="16"/>
      <c r="K219" s="17"/>
    </row>
    <row r="220" spans="5:11" x14ac:dyDescent="0.25">
      <c r="E220" s="15"/>
      <c r="F220" s="76"/>
      <c r="J220" s="16"/>
      <c r="K220" s="17"/>
    </row>
    <row r="221" spans="5:11" x14ac:dyDescent="0.25">
      <c r="E221" s="15"/>
      <c r="F221" s="76"/>
      <c r="J221" s="16"/>
      <c r="K221" s="17"/>
    </row>
    <row r="222" spans="5:11" x14ac:dyDescent="0.25">
      <c r="E222" s="15"/>
      <c r="F222" s="76"/>
      <c r="J222" s="16"/>
      <c r="K222" s="17"/>
    </row>
    <row r="223" spans="5:11" x14ac:dyDescent="0.25">
      <c r="E223" s="15"/>
      <c r="F223" s="76"/>
      <c r="J223" s="16"/>
      <c r="K223" s="17"/>
    </row>
    <row r="224" spans="5:11" x14ac:dyDescent="0.25">
      <c r="E224" s="15"/>
      <c r="F224" s="76"/>
      <c r="J224" s="16"/>
      <c r="K224" s="17"/>
    </row>
    <row r="225" spans="5:11" x14ac:dyDescent="0.25">
      <c r="E225" s="15"/>
      <c r="F225" s="76"/>
      <c r="J225" s="16"/>
      <c r="K225" s="17"/>
    </row>
    <row r="226" spans="5:11" x14ac:dyDescent="0.25">
      <c r="E226" s="15"/>
      <c r="F226" s="76"/>
      <c r="J226" s="16"/>
      <c r="K226" s="17"/>
    </row>
    <row r="227" spans="5:11" x14ac:dyDescent="0.25">
      <c r="E227" s="15"/>
      <c r="F227" s="76"/>
      <c r="J227" s="16"/>
      <c r="K227" s="17"/>
    </row>
    <row r="228" spans="5:11" x14ac:dyDescent="0.25">
      <c r="E228" s="15"/>
      <c r="F228" s="76"/>
      <c r="J228" s="16"/>
      <c r="K228" s="17"/>
    </row>
    <row r="229" spans="5:11" x14ac:dyDescent="0.25">
      <c r="E229" s="15"/>
      <c r="F229" s="76"/>
      <c r="J229" s="16"/>
      <c r="K229" s="17"/>
    </row>
    <row r="230" spans="5:11" x14ac:dyDescent="0.25">
      <c r="E230" s="15"/>
      <c r="F230" s="76"/>
      <c r="J230" s="16"/>
      <c r="K230" s="17"/>
    </row>
    <row r="231" spans="5:11" x14ac:dyDescent="0.25">
      <c r="E231" s="15"/>
      <c r="F231" s="76"/>
      <c r="J231" s="16"/>
      <c r="K231" s="17"/>
    </row>
    <row r="232" spans="5:11" x14ac:dyDescent="0.25">
      <c r="E232" s="15"/>
      <c r="F232" s="76"/>
      <c r="J232" s="16"/>
      <c r="K232" s="17"/>
    </row>
    <row r="233" spans="5:11" x14ac:dyDescent="0.25">
      <c r="E233" s="15"/>
      <c r="F233" s="76"/>
      <c r="J233" s="16"/>
      <c r="K233" s="17"/>
    </row>
    <row r="234" spans="5:11" x14ac:dyDescent="0.25">
      <c r="E234" s="15"/>
      <c r="F234" s="76"/>
      <c r="J234" s="16"/>
      <c r="K234" s="17"/>
    </row>
    <row r="235" spans="5:11" x14ac:dyDescent="0.25">
      <c r="E235" s="15"/>
      <c r="F235" s="76"/>
      <c r="J235" s="16"/>
      <c r="K235" s="17"/>
    </row>
    <row r="236" spans="5:11" x14ac:dyDescent="0.25">
      <c r="E236" s="15"/>
      <c r="F236" s="76"/>
      <c r="J236" s="16"/>
      <c r="K236" s="17"/>
    </row>
    <row r="237" spans="5:11" x14ac:dyDescent="0.25">
      <c r="E237" s="15"/>
      <c r="F237" s="76"/>
      <c r="J237" s="16"/>
      <c r="K237" s="17"/>
    </row>
    <row r="238" spans="5:11" x14ac:dyDescent="0.25">
      <c r="E238" s="15"/>
      <c r="F238" s="76"/>
      <c r="J238" s="16"/>
      <c r="K238" s="17"/>
    </row>
    <row r="239" spans="5:11" x14ac:dyDescent="0.25">
      <c r="E239" s="15"/>
      <c r="F239" s="76"/>
      <c r="J239" s="16"/>
      <c r="K239" s="17"/>
    </row>
    <row r="240" spans="5:11" x14ac:dyDescent="0.25">
      <c r="E240" s="15"/>
      <c r="F240" s="76"/>
      <c r="J240" s="16"/>
      <c r="K240" s="17"/>
    </row>
    <row r="241" spans="5:11" x14ac:dyDescent="0.25">
      <c r="E241" s="15"/>
      <c r="F241" s="76"/>
      <c r="J241" s="16"/>
      <c r="K241" s="17"/>
    </row>
    <row r="242" spans="5:11" x14ac:dyDescent="0.25">
      <c r="E242" s="15"/>
      <c r="F242" s="76"/>
      <c r="J242" s="16"/>
      <c r="K242" s="17"/>
    </row>
    <row r="243" spans="5:11" x14ac:dyDescent="0.25">
      <c r="E243" s="15"/>
      <c r="F243" s="76"/>
      <c r="J243" s="16"/>
      <c r="K243" s="17"/>
    </row>
    <row r="244" spans="5:11" x14ac:dyDescent="0.25">
      <c r="E244" s="15"/>
      <c r="F244" s="76"/>
      <c r="J244" s="16"/>
      <c r="K244" s="17"/>
    </row>
    <row r="245" spans="5:11" x14ac:dyDescent="0.25">
      <c r="E245" s="15"/>
      <c r="F245" s="76"/>
      <c r="J245" s="16"/>
      <c r="K245" s="17"/>
    </row>
    <row r="246" spans="5:11" x14ac:dyDescent="0.25">
      <c r="E246" s="15"/>
      <c r="F246" s="76"/>
      <c r="J246" s="16"/>
      <c r="K246" s="17"/>
    </row>
    <row r="247" spans="5:11" x14ac:dyDescent="0.25">
      <c r="E247" s="15"/>
      <c r="F247" s="76"/>
      <c r="J247" s="16"/>
      <c r="K247" s="17"/>
    </row>
    <row r="248" spans="5:11" x14ac:dyDescent="0.25">
      <c r="E248" s="15"/>
      <c r="F248" s="76"/>
      <c r="J248" s="16"/>
      <c r="K248" s="17"/>
    </row>
    <row r="249" spans="5:11" x14ac:dyDescent="0.25">
      <c r="E249" s="15"/>
      <c r="F249" s="76"/>
      <c r="J249" s="16"/>
      <c r="K249" s="17"/>
    </row>
    <row r="250" spans="5:11" x14ac:dyDescent="0.25">
      <c r="E250" s="15"/>
      <c r="F250" s="76"/>
      <c r="J250" s="16"/>
      <c r="K250" s="17"/>
    </row>
    <row r="251" spans="5:11" x14ac:dyDescent="0.25">
      <c r="E251" s="15"/>
      <c r="F251" s="76"/>
      <c r="J251" s="16"/>
      <c r="K251" s="17"/>
    </row>
    <row r="252" spans="5:11" x14ac:dyDescent="0.25">
      <c r="E252" s="15"/>
      <c r="F252" s="76"/>
      <c r="J252" s="16"/>
      <c r="K252" s="17"/>
    </row>
    <row r="253" spans="5:11" x14ac:dyDescent="0.25">
      <c r="E253" s="15"/>
      <c r="F253" s="76"/>
      <c r="J253" s="16"/>
      <c r="K253" s="17"/>
    </row>
    <row r="254" spans="5:11" x14ac:dyDescent="0.25">
      <c r="E254" s="15"/>
      <c r="F254" s="76"/>
      <c r="J254" s="16"/>
      <c r="K254" s="17"/>
    </row>
    <row r="255" spans="5:11" x14ac:dyDescent="0.25">
      <c r="E255" s="15"/>
      <c r="F255" s="76"/>
      <c r="J255" s="16"/>
      <c r="K255" s="17"/>
    </row>
    <row r="256" spans="5:11" x14ac:dyDescent="0.25">
      <c r="E256" s="15"/>
      <c r="F256" s="76"/>
      <c r="J256" s="16"/>
      <c r="K256" s="17"/>
    </row>
    <row r="257" spans="5:11" x14ac:dyDescent="0.25">
      <c r="E257" s="15"/>
      <c r="F257" s="76"/>
      <c r="J257" s="16"/>
      <c r="K257" s="17"/>
    </row>
    <row r="258" spans="5:11" x14ac:dyDescent="0.25">
      <c r="E258" s="15"/>
      <c r="F258" s="76"/>
      <c r="J258" s="16"/>
      <c r="K258" s="17"/>
    </row>
    <row r="259" spans="5:11" x14ac:dyDescent="0.25">
      <c r="E259" s="15"/>
      <c r="F259" s="76"/>
      <c r="J259" s="16"/>
      <c r="K259" s="17"/>
    </row>
    <row r="260" spans="5:11" x14ac:dyDescent="0.25">
      <c r="E260" s="15"/>
      <c r="F260" s="76"/>
      <c r="J260" s="16"/>
      <c r="K260" s="17"/>
    </row>
    <row r="261" spans="5:11" x14ac:dyDescent="0.25">
      <c r="E261" s="15"/>
      <c r="F261" s="76"/>
      <c r="J261" s="16"/>
      <c r="K261" s="17"/>
    </row>
    <row r="262" spans="5:11" x14ac:dyDescent="0.25">
      <c r="E262" s="15"/>
      <c r="F262" s="76"/>
      <c r="J262" s="16"/>
      <c r="K262" s="17"/>
    </row>
    <row r="263" spans="5:11" x14ac:dyDescent="0.25">
      <c r="E263" s="15"/>
      <c r="F263" s="76"/>
      <c r="J263" s="16"/>
      <c r="K263" s="17"/>
    </row>
    <row r="264" spans="5:11" x14ac:dyDescent="0.25">
      <c r="E264" s="15"/>
      <c r="F264" s="76"/>
      <c r="J264" s="16"/>
      <c r="K264" s="17"/>
    </row>
    <row r="265" spans="5:11" x14ac:dyDescent="0.25">
      <c r="E265" s="15"/>
      <c r="F265" s="76"/>
      <c r="J265" s="16"/>
      <c r="K265" s="17"/>
    </row>
    <row r="266" spans="5:11" x14ac:dyDescent="0.25">
      <c r="E266" s="15"/>
      <c r="F266" s="76"/>
      <c r="J266" s="16"/>
      <c r="K266" s="17"/>
    </row>
    <row r="267" spans="5:11" x14ac:dyDescent="0.25">
      <c r="E267" s="15"/>
      <c r="F267" s="76"/>
      <c r="J267" s="16"/>
      <c r="K267" s="17"/>
    </row>
    <row r="268" spans="5:11" x14ac:dyDescent="0.25">
      <c r="E268" s="15"/>
      <c r="F268" s="76"/>
      <c r="J268" s="16"/>
      <c r="K268" s="17"/>
    </row>
    <row r="269" spans="5:11" x14ac:dyDescent="0.25">
      <c r="E269" s="15"/>
      <c r="F269" s="76"/>
      <c r="J269" s="16"/>
      <c r="K269" s="17"/>
    </row>
    <row r="270" spans="5:11" x14ac:dyDescent="0.25">
      <c r="E270" s="15"/>
      <c r="F270" s="76"/>
      <c r="J270" s="16"/>
      <c r="K270" s="17"/>
    </row>
    <row r="271" spans="5:11" x14ac:dyDescent="0.25">
      <c r="E271" s="15"/>
      <c r="F271" s="76"/>
      <c r="J271" s="16"/>
      <c r="K271" s="17"/>
    </row>
    <row r="272" spans="5:11" x14ac:dyDescent="0.25">
      <c r="E272" s="15"/>
      <c r="F272" s="76"/>
      <c r="J272" s="16"/>
      <c r="K272" s="17"/>
    </row>
    <row r="273" spans="5:11" x14ac:dyDescent="0.25">
      <c r="E273" s="15"/>
      <c r="F273" s="76"/>
      <c r="J273" s="16"/>
      <c r="K273" s="17"/>
    </row>
    <row r="274" spans="5:11" x14ac:dyDescent="0.25">
      <c r="E274" s="15"/>
      <c r="F274" s="76"/>
      <c r="J274" s="16"/>
      <c r="K274" s="17"/>
    </row>
    <row r="275" spans="5:11" x14ac:dyDescent="0.25">
      <c r="E275" s="15"/>
      <c r="F275" s="76"/>
      <c r="J275" s="16"/>
      <c r="K275" s="17"/>
    </row>
    <row r="276" spans="5:11" x14ac:dyDescent="0.25">
      <c r="E276" s="15"/>
      <c r="F276" s="76"/>
      <c r="J276" s="16"/>
      <c r="K276" s="17"/>
    </row>
    <row r="277" spans="5:11" x14ac:dyDescent="0.25">
      <c r="E277" s="15"/>
      <c r="F277" s="76"/>
      <c r="J277" s="16"/>
      <c r="K277" s="17"/>
    </row>
    <row r="278" spans="5:11" x14ac:dyDescent="0.25">
      <c r="E278" s="15"/>
      <c r="F278" s="76"/>
      <c r="J278" s="16"/>
      <c r="K278" s="17"/>
    </row>
    <row r="279" spans="5:11" x14ac:dyDescent="0.25">
      <c r="E279" s="15"/>
      <c r="F279" s="76"/>
      <c r="J279" s="16"/>
      <c r="K279" s="17"/>
    </row>
    <row r="280" spans="5:11" x14ac:dyDescent="0.25">
      <c r="E280" s="15"/>
      <c r="F280" s="76"/>
      <c r="J280" s="16"/>
      <c r="K280" s="17"/>
    </row>
    <row r="281" spans="5:11" x14ac:dyDescent="0.25">
      <c r="E281" s="15"/>
      <c r="F281" s="76"/>
      <c r="J281" s="16"/>
      <c r="K281" s="17"/>
    </row>
    <row r="282" spans="5:11" x14ac:dyDescent="0.25">
      <c r="E282" s="15"/>
      <c r="F282" s="76"/>
      <c r="J282" s="16"/>
      <c r="K282" s="17"/>
    </row>
  </sheetData>
  <mergeCells count="2">
    <mergeCell ref="P145:P146"/>
    <mergeCell ref="S145:S146"/>
  </mergeCells>
  <phoneticPr fontId="0" type="noConversion"/>
  <pageMargins left="0.51181102362204722" right="0.27559055118110237" top="1.0629921259842521" bottom="0.39370078740157483" header="0.74803149606299213" footer="0.23622047244094491"/>
  <pageSetup scale="48" orientation="landscape" r:id="rId1"/>
  <headerFooter alignWithMargins="0">
    <oddHeader>&amp;L&amp;14&amp;F&amp;C&amp;14&amp;A&amp;R&amp;12&amp;D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SI#1-Sep16 (TS)</vt:lpstr>
      <vt:lpstr>'SI#1-Sep16 (TS)'!Print_Area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MacIntyre, Art</dc:creator>
  <cp:lastModifiedBy>Debertin, Allan</cp:lastModifiedBy>
  <cp:lastPrinted>2011-09-28T17:12:15Z</cp:lastPrinted>
  <dcterms:created xsi:type="dcterms:W3CDTF">1996-10-14T23:33:28Z</dcterms:created>
  <dcterms:modified xsi:type="dcterms:W3CDTF">2023-10-06T11:02:03Z</dcterms:modified>
</cp:coreProperties>
</file>