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arag\Documents\"/>
    </mc:Choice>
  </mc:AlternateContent>
  <xr:revisionPtr revIDLastSave="0" documentId="13_ncr:1_{4798EF57-F6BC-4B2A-9019-90C1460DB3A6}" xr6:coauthVersionLast="47" xr6:coauthVersionMax="47" xr10:uidLastSave="{00000000-0000-0000-0000-000000000000}"/>
  <bookViews>
    <workbookView xWindow="-120" yWindow="-120" windowWidth="20730" windowHeight="11040" activeTab="4" xr2:uid="{D063560D-3034-4A20-B992-FF4A7A45A302}"/>
  </bookViews>
  <sheets>
    <sheet name="Hoja1" sheetId="1" r:id="rId1"/>
    <sheet name="Analisis Vertical " sheetId="2" r:id="rId2"/>
    <sheet name="Analisis Horizontal  " sheetId="5" r:id="rId3"/>
    <sheet name="Hoja3" sheetId="4" r:id="rId4"/>
    <sheet name="Analisis y mejoras "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9" i="4" l="1"/>
  <c r="N58" i="4"/>
  <c r="D60" i="4"/>
  <c r="D59" i="4"/>
  <c r="E38" i="4"/>
  <c r="J38" i="4"/>
  <c r="I38" i="4"/>
  <c r="O68" i="4"/>
  <c r="O71" i="4" s="1"/>
  <c r="O63" i="4"/>
  <c r="O66" i="4" s="1"/>
  <c r="O58" i="4"/>
  <c r="O61" i="4" s="1"/>
  <c r="J66" i="5"/>
  <c r="D81" i="1"/>
  <c r="D86" i="1"/>
  <c r="D63" i="1"/>
  <c r="D79" i="1"/>
  <c r="D72" i="1"/>
  <c r="D67" i="1"/>
  <c r="J60" i="5"/>
  <c r="J90" i="5"/>
  <c r="J91" i="5"/>
  <c r="J92" i="5"/>
  <c r="J93" i="5"/>
  <c r="J94" i="5"/>
  <c r="J95" i="5"/>
  <c r="J89" i="5"/>
  <c r="J84" i="5"/>
  <c r="J85" i="5"/>
  <c r="J86" i="5"/>
  <c r="J87" i="5"/>
  <c r="J83" i="5"/>
  <c r="J81" i="5"/>
  <c r="J77" i="5"/>
  <c r="J78" i="5"/>
  <c r="J79" i="5"/>
  <c r="J80" i="5"/>
  <c r="J76" i="5"/>
  <c r="J68" i="5"/>
  <c r="J69" i="5"/>
  <c r="J70" i="5"/>
  <c r="J71" i="5"/>
  <c r="J72" i="5"/>
  <c r="J73" i="5"/>
  <c r="J61" i="5"/>
  <c r="J62" i="5"/>
  <c r="J63" i="5"/>
  <c r="J64" i="5"/>
  <c r="J65" i="5"/>
  <c r="J7" i="5"/>
  <c r="L7" i="5"/>
  <c r="I92" i="5"/>
  <c r="I89" i="5"/>
  <c r="I61" i="5"/>
  <c r="I62" i="5"/>
  <c r="I63" i="5"/>
  <c r="I64" i="5"/>
  <c r="I65" i="5"/>
  <c r="I66" i="5"/>
  <c r="I68" i="5"/>
  <c r="I69" i="5"/>
  <c r="I70" i="5"/>
  <c r="I71" i="5"/>
  <c r="I72" i="5"/>
  <c r="I73" i="5"/>
  <c r="I76" i="5"/>
  <c r="I77" i="5"/>
  <c r="I78" i="5"/>
  <c r="I79" i="5"/>
  <c r="I80" i="5"/>
  <c r="I81" i="5"/>
  <c r="I82" i="5"/>
  <c r="I83" i="5"/>
  <c r="I84" i="5"/>
  <c r="I85" i="5"/>
  <c r="I86" i="5"/>
  <c r="I87" i="5"/>
  <c r="I90" i="5"/>
  <c r="I91" i="5"/>
  <c r="I93" i="5"/>
  <c r="I94" i="5"/>
  <c r="I95" i="5"/>
  <c r="I7" i="5"/>
  <c r="I60" i="5"/>
  <c r="G94" i="5"/>
  <c r="G86" i="5"/>
  <c r="G81" i="5"/>
  <c r="G72" i="5"/>
  <c r="G66" i="5"/>
  <c r="E94" i="5"/>
  <c r="E86" i="5"/>
  <c r="E81" i="5"/>
  <c r="E72" i="5"/>
  <c r="E66" i="5"/>
  <c r="I51" i="5"/>
  <c r="J51" i="5" s="1"/>
  <c r="I50" i="5"/>
  <c r="J50" i="5" s="1"/>
  <c r="I49" i="5"/>
  <c r="J49" i="5" s="1"/>
  <c r="I48" i="5"/>
  <c r="J48" i="5" s="1"/>
  <c r="I47" i="5"/>
  <c r="J47" i="5" s="1"/>
  <c r="I46" i="5"/>
  <c r="J46" i="5" s="1"/>
  <c r="I45" i="5"/>
  <c r="J45" i="5" s="1"/>
  <c r="I43" i="5"/>
  <c r="J43" i="5" s="1"/>
  <c r="I42" i="5"/>
  <c r="J42" i="5" s="1"/>
  <c r="I41" i="5"/>
  <c r="J41" i="5" s="1"/>
  <c r="I40" i="5"/>
  <c r="J40" i="5" s="1"/>
  <c r="I39" i="5"/>
  <c r="J39" i="5" s="1"/>
  <c r="I38" i="5"/>
  <c r="J38" i="5" s="1"/>
  <c r="I36" i="5"/>
  <c r="J36" i="5" s="1"/>
  <c r="I35" i="5"/>
  <c r="J35" i="5" s="1"/>
  <c r="I34" i="5"/>
  <c r="I33" i="5"/>
  <c r="J33" i="5" s="1"/>
  <c r="I32" i="5"/>
  <c r="J32" i="5" s="1"/>
  <c r="I31" i="5"/>
  <c r="J31" i="5" s="1"/>
  <c r="I30" i="5"/>
  <c r="J30" i="5" s="1"/>
  <c r="I29" i="5"/>
  <c r="J29" i="5" s="1"/>
  <c r="I28" i="5"/>
  <c r="J28" i="5" s="1"/>
  <c r="I27" i="5"/>
  <c r="J27" i="5" s="1"/>
  <c r="I25" i="5"/>
  <c r="J25" i="5" s="1"/>
  <c r="I24" i="5"/>
  <c r="J24" i="5" s="1"/>
  <c r="I23" i="5"/>
  <c r="J23" i="5" s="1"/>
  <c r="I22" i="5"/>
  <c r="J22" i="5" s="1"/>
  <c r="I21" i="5"/>
  <c r="J21" i="5" s="1"/>
  <c r="I20" i="5"/>
  <c r="J20" i="5" s="1"/>
  <c r="I19" i="5"/>
  <c r="J19" i="5" s="1"/>
  <c r="I18" i="5"/>
  <c r="J18" i="5" s="1"/>
  <c r="I17" i="5"/>
  <c r="J17" i="5" s="1"/>
  <c r="I16" i="5"/>
  <c r="J16" i="5" s="1"/>
  <c r="I12" i="5"/>
  <c r="J12" i="5" s="1"/>
  <c r="I11" i="5"/>
  <c r="J11" i="5" s="1"/>
  <c r="I8" i="5"/>
  <c r="J8" i="5" s="1"/>
  <c r="G44" i="5"/>
  <c r="G37" i="5"/>
  <c r="G26" i="5"/>
  <c r="G15" i="5"/>
  <c r="G13" i="5"/>
  <c r="G9" i="5"/>
  <c r="G14" i="5" s="1"/>
  <c r="E44" i="5"/>
  <c r="I44" i="5" s="1"/>
  <c r="J44" i="5" s="1"/>
  <c r="E37" i="5"/>
  <c r="E26" i="5"/>
  <c r="E15" i="5"/>
  <c r="E13" i="5"/>
  <c r="E9" i="5"/>
  <c r="E14" i="5" s="1"/>
  <c r="F8" i="2"/>
  <c r="D80" i="1"/>
  <c r="I37" i="5" l="1"/>
  <c r="J37" i="5" s="1"/>
  <c r="I26" i="5"/>
  <c r="J26" i="5" s="1"/>
  <c r="I14" i="5"/>
  <c r="J14" i="5" s="1"/>
  <c r="I13" i="5"/>
  <c r="J13" i="5" s="1"/>
  <c r="I15" i="5"/>
  <c r="J15" i="5" s="1"/>
  <c r="G73" i="5"/>
  <c r="G87" i="5"/>
  <c r="G95" i="5" s="1"/>
  <c r="I9" i="5"/>
  <c r="J9" i="5" s="1"/>
  <c r="E73" i="5"/>
  <c r="E87" i="5"/>
  <c r="E95" i="5"/>
  <c r="D16" i="1" l="1"/>
  <c r="D15" i="1" s="1"/>
  <c r="I59" i="4" l="1"/>
  <c r="I60" i="4" s="1"/>
  <c r="J59" i="4" s="1"/>
  <c r="D39" i="1" l="1"/>
  <c r="E13" i="1"/>
  <c r="E39" i="1"/>
  <c r="E46" i="1"/>
  <c r="E27" i="1"/>
  <c r="D27" i="1"/>
  <c r="E15" i="1"/>
  <c r="E9" i="1"/>
  <c r="D46" i="1"/>
  <c r="I70" i="4"/>
  <c r="I69" i="4"/>
  <c r="J69" i="4" s="1"/>
  <c r="J72" i="4" s="1"/>
  <c r="I65" i="4"/>
  <c r="I64" i="4"/>
  <c r="J64" i="4" s="1"/>
  <c r="J67" i="4" s="1"/>
  <c r="I28" i="4"/>
  <c r="E72" i="4"/>
  <c r="E69" i="4"/>
  <c r="E67" i="4"/>
  <c r="E64" i="4"/>
  <c r="E59" i="4"/>
  <c r="E62" i="4" s="1"/>
  <c r="E14" i="1" l="1"/>
  <c r="E38" i="1" s="1"/>
  <c r="J62" i="4"/>
  <c r="E51" i="1"/>
  <c r="E53" i="1" s="1"/>
  <c r="H27" i="2" l="1"/>
  <c r="I27" i="2" s="1"/>
  <c r="F52" i="2"/>
  <c r="I9" i="2"/>
  <c r="I11" i="2"/>
  <c r="I12" i="2"/>
  <c r="I13" i="2"/>
  <c r="I17" i="2"/>
  <c r="I18" i="2"/>
  <c r="I19" i="2"/>
  <c r="I20" i="2"/>
  <c r="I21" i="2"/>
  <c r="I22" i="2"/>
  <c r="I23" i="2"/>
  <c r="I24" i="2"/>
  <c r="I25" i="2"/>
  <c r="I26" i="2"/>
  <c r="I28" i="2"/>
  <c r="I29" i="2"/>
  <c r="I30" i="2"/>
  <c r="I31" i="2"/>
  <c r="I32" i="2"/>
  <c r="I33" i="2"/>
  <c r="I34" i="2"/>
  <c r="I35" i="2"/>
  <c r="I36" i="2"/>
  <c r="I37" i="2"/>
  <c r="I39" i="2"/>
  <c r="I40" i="2"/>
  <c r="I41" i="2"/>
  <c r="I42" i="2"/>
  <c r="I43" i="2"/>
  <c r="I44" i="2"/>
  <c r="I46" i="2"/>
  <c r="I47" i="2"/>
  <c r="I48" i="2"/>
  <c r="I49" i="2"/>
  <c r="I50" i="2"/>
  <c r="I51" i="2"/>
  <c r="I52" i="2"/>
  <c r="I8" i="2"/>
  <c r="F30" i="2"/>
  <c r="F9" i="2"/>
  <c r="F11" i="2"/>
  <c r="F12" i="2"/>
  <c r="F13" i="2"/>
  <c r="F17" i="2"/>
  <c r="F18" i="2"/>
  <c r="F19" i="2"/>
  <c r="F20" i="2"/>
  <c r="F21" i="2"/>
  <c r="F22" i="2"/>
  <c r="F23" i="2"/>
  <c r="F24" i="2"/>
  <c r="F25" i="2"/>
  <c r="F26" i="2"/>
  <c r="F28" i="2"/>
  <c r="F29" i="2"/>
  <c r="F31" i="2"/>
  <c r="F32" i="2"/>
  <c r="F33" i="2"/>
  <c r="F34" i="2"/>
  <c r="F35" i="2"/>
  <c r="F36" i="2"/>
  <c r="F37" i="2"/>
  <c r="F39" i="2"/>
  <c r="F40" i="2"/>
  <c r="F41" i="2"/>
  <c r="F42" i="2"/>
  <c r="F43" i="2"/>
  <c r="F44" i="2"/>
  <c r="F46" i="2"/>
  <c r="F47" i="2"/>
  <c r="F48" i="2"/>
  <c r="F49" i="2"/>
  <c r="F50" i="2"/>
  <c r="F51" i="2"/>
  <c r="H96" i="2"/>
  <c r="E96" i="2"/>
  <c r="H88" i="2"/>
  <c r="E88" i="2"/>
  <c r="H83" i="2"/>
  <c r="E83" i="2"/>
  <c r="H74" i="2"/>
  <c r="E74" i="2"/>
  <c r="H68" i="2"/>
  <c r="E68" i="2"/>
  <c r="H45" i="2"/>
  <c r="I45" i="2" s="1"/>
  <c r="E45" i="2"/>
  <c r="H38" i="2"/>
  <c r="I38" i="2" s="1"/>
  <c r="E38" i="2"/>
  <c r="F38" i="2" s="1"/>
  <c r="E27" i="2"/>
  <c r="F27" i="2" s="1"/>
  <c r="H16" i="2"/>
  <c r="I16" i="2" s="1"/>
  <c r="E16" i="2"/>
  <c r="F16" i="2" s="1"/>
  <c r="H14" i="2"/>
  <c r="I14" i="2" s="1"/>
  <c r="E14" i="2"/>
  <c r="H10" i="2"/>
  <c r="E10" i="2"/>
  <c r="E98" i="1"/>
  <c r="E90" i="1"/>
  <c r="D90" i="1"/>
  <c r="E84" i="1"/>
  <c r="D84" i="1"/>
  <c r="E75" i="1"/>
  <c r="D75" i="1"/>
  <c r="E69" i="1"/>
  <c r="D69" i="1"/>
  <c r="D13" i="1"/>
  <c r="D9" i="1"/>
  <c r="D14" i="1" s="1"/>
  <c r="E15" i="2" l="1"/>
  <c r="H15" i="2"/>
  <c r="I15" i="2" s="1"/>
  <c r="F15" i="2"/>
  <c r="I10" i="2"/>
  <c r="F91" i="2"/>
  <c r="F92" i="2"/>
  <c r="F93" i="2"/>
  <c r="F94" i="2"/>
  <c r="F95" i="2"/>
  <c r="F96" i="2"/>
  <c r="F45" i="2"/>
  <c r="I95" i="2"/>
  <c r="I96" i="2"/>
  <c r="I91" i="2"/>
  <c r="I92" i="2"/>
  <c r="I93" i="2"/>
  <c r="I94" i="2"/>
  <c r="F14" i="2"/>
  <c r="H75" i="2"/>
  <c r="I68" i="2" s="1"/>
  <c r="I74" i="2"/>
  <c r="F10" i="2"/>
  <c r="J9" i="4"/>
  <c r="D76" i="1"/>
  <c r="I22" i="4"/>
  <c r="I4" i="4"/>
  <c r="I25" i="4"/>
  <c r="D91" i="1"/>
  <c r="J6" i="4"/>
  <c r="I3" i="4"/>
  <c r="I48" i="4"/>
  <c r="I54" i="4"/>
  <c r="I51" i="4"/>
  <c r="E89" i="2"/>
  <c r="F88" i="2" s="1"/>
  <c r="H89" i="2"/>
  <c r="I88" i="2" s="1"/>
  <c r="E75" i="2"/>
  <c r="F74" i="2" s="1"/>
  <c r="E91" i="1"/>
  <c r="E99" i="1" s="1"/>
  <c r="E76" i="1"/>
  <c r="F68" i="2" l="1"/>
  <c r="H97" i="2"/>
  <c r="E97" i="2"/>
  <c r="F83" i="2"/>
  <c r="F63" i="2"/>
  <c r="F71" i="2"/>
  <c r="F64" i="2"/>
  <c r="F72" i="2"/>
  <c r="F65" i="2"/>
  <c r="F73" i="2"/>
  <c r="F66" i="2"/>
  <c r="F67" i="2"/>
  <c r="F62" i="2"/>
  <c r="F69" i="2"/>
  <c r="F75" i="2"/>
  <c r="F70" i="2"/>
  <c r="I86" i="2"/>
  <c r="I79" i="2"/>
  <c r="I87" i="2"/>
  <c r="I80" i="2"/>
  <c r="I81" i="2"/>
  <c r="I89" i="2"/>
  <c r="I82" i="2"/>
  <c r="I78" i="2"/>
  <c r="I84" i="2"/>
  <c r="I85" i="2"/>
  <c r="F84" i="2"/>
  <c r="F85" i="2"/>
  <c r="F78" i="2"/>
  <c r="F86" i="2"/>
  <c r="F79" i="2"/>
  <c r="F87" i="2"/>
  <c r="F80" i="2"/>
  <c r="F81" i="2"/>
  <c r="F89" i="2"/>
  <c r="F82" i="2"/>
  <c r="I66" i="2"/>
  <c r="I67" i="2"/>
  <c r="I75" i="2"/>
  <c r="I62" i="2"/>
  <c r="I69" i="2"/>
  <c r="I70" i="2"/>
  <c r="I63" i="2"/>
  <c r="I71" i="2"/>
  <c r="I64" i="2"/>
  <c r="I72" i="2"/>
  <c r="I65" i="2"/>
  <c r="I73" i="2"/>
  <c r="I83" i="2"/>
  <c r="I17" i="4"/>
  <c r="D100" i="1"/>
  <c r="D54" i="1"/>
  <c r="J3" i="4"/>
  <c r="I42" i="4"/>
  <c r="I23" i="4"/>
  <c r="J22" i="4" s="1"/>
  <c r="I16" i="4"/>
  <c r="I19" i="4"/>
  <c r="I31" i="4"/>
  <c r="I26" i="4"/>
  <c r="J25" i="4" s="1"/>
  <c r="I47" i="4"/>
  <c r="J47" i="4" s="1"/>
  <c r="D38" i="1"/>
  <c r="D51" i="1" s="1"/>
  <c r="D52" i="1" l="1"/>
  <c r="I50" i="4"/>
  <c r="J50" i="4" s="1"/>
  <c r="J16" i="4"/>
  <c r="I53" i="4"/>
  <c r="J53" i="4" s="1"/>
  <c r="D53" i="1" l="1"/>
  <c r="D97" i="1" s="1"/>
  <c r="D98" i="1" s="1"/>
  <c r="I29" i="4" l="1"/>
  <c r="J28" i="4" s="1"/>
  <c r="I32" i="4"/>
  <c r="J31" i="4" s="1"/>
  <c r="I20" i="4"/>
  <c r="J19" i="4" s="1"/>
  <c r="I45" i="4"/>
  <c r="I44" i="4"/>
  <c r="I41" i="4"/>
  <c r="J41" i="4" s="1"/>
  <c r="D99" i="1"/>
  <c r="D101" i="1" s="1"/>
  <c r="J44" i="4"/>
</calcChain>
</file>

<file path=xl/sharedStrings.xml><?xml version="1.0" encoding="utf-8"?>
<sst xmlns="http://schemas.openxmlformats.org/spreadsheetml/2006/main" count="534" uniqueCount="172">
  <si>
    <t xml:space="preserve">Ingresos de actividades ordinarias </t>
  </si>
  <si>
    <t xml:space="preserve">Devoluciones en ventas </t>
  </si>
  <si>
    <t xml:space="preserve">Total ingresos brutos </t>
  </si>
  <si>
    <t xml:space="preserve">Costos de operación </t>
  </si>
  <si>
    <t>costos de ventas</t>
  </si>
  <si>
    <t xml:space="preserve">Total costos de operaciones </t>
  </si>
  <si>
    <t>Gastos de administración</t>
  </si>
  <si>
    <t xml:space="preserve">Utilidad bruta </t>
  </si>
  <si>
    <t xml:space="preserve">Gastos del personal </t>
  </si>
  <si>
    <t xml:space="preserve">Honorarios </t>
  </si>
  <si>
    <t xml:space="preserve">Impuestos </t>
  </si>
  <si>
    <t xml:space="preserve">Arrendamientos </t>
  </si>
  <si>
    <t xml:space="preserve">Seguros </t>
  </si>
  <si>
    <t xml:space="preserve">Servicios </t>
  </si>
  <si>
    <t xml:space="preserve">Gastos legales </t>
  </si>
  <si>
    <t xml:space="preserve">Mantenimiento y reparaciones </t>
  </si>
  <si>
    <t xml:space="preserve">Depreciaciones </t>
  </si>
  <si>
    <t xml:space="preserve">Gastos diversos </t>
  </si>
  <si>
    <t xml:space="preserve">Gastos de ventas </t>
  </si>
  <si>
    <t xml:space="preserve">Gastos de personal </t>
  </si>
  <si>
    <t xml:space="preserve">Gastos Legales </t>
  </si>
  <si>
    <t xml:space="preserve">utilidad por actividades de operación </t>
  </si>
  <si>
    <t xml:space="preserve">Ingresos no operacionales </t>
  </si>
  <si>
    <t xml:space="preserve">Diferencia en cambio </t>
  </si>
  <si>
    <t xml:space="preserve">Intereses </t>
  </si>
  <si>
    <t xml:space="preserve">Recuperaciones </t>
  </si>
  <si>
    <t xml:space="preserve">Indemnizaciones </t>
  </si>
  <si>
    <t>Diversos</t>
  </si>
  <si>
    <t xml:space="preserve">Utilidad en ventas de activos </t>
  </si>
  <si>
    <t xml:space="preserve">Gastos no operacionales </t>
  </si>
  <si>
    <t xml:space="preserve">Gastos bancarios </t>
  </si>
  <si>
    <t xml:space="preserve">Gravamen al movimiento financiero </t>
  </si>
  <si>
    <t xml:space="preserve">Utilidad antes de impuesto a la renta </t>
  </si>
  <si>
    <t xml:space="preserve">Gasto por impuesto a la renta </t>
  </si>
  <si>
    <t xml:space="preserve">Utilidad o perdida neta del periodo </t>
  </si>
  <si>
    <t xml:space="preserve">Estado del Resultado Integral al 31 de diciembre de 2023 </t>
  </si>
  <si>
    <t>Con cifras comparativas al 31 de diciembre de 2022</t>
  </si>
  <si>
    <t>(Cifras expresadas en pesos colombianos)</t>
  </si>
  <si>
    <t xml:space="preserve">Gastos extraordinarios </t>
  </si>
  <si>
    <t>Estado de Situación Financiera al 31 de Diciembre de 2023</t>
  </si>
  <si>
    <t xml:space="preserve">ACTIVOS </t>
  </si>
  <si>
    <t xml:space="preserve">Activos corrientes </t>
  </si>
  <si>
    <t xml:space="preserve">Efectivo y equivalente de efectivo </t>
  </si>
  <si>
    <t xml:space="preserve">Activos financieros </t>
  </si>
  <si>
    <t>Deudores comerciales y otros deudores</t>
  </si>
  <si>
    <t>Anticipo de impuestos</t>
  </si>
  <si>
    <t xml:space="preserve">Inventarios </t>
  </si>
  <si>
    <t xml:space="preserve">Anticipos y avances a proveedores </t>
  </si>
  <si>
    <t xml:space="preserve">Total activos corrientes </t>
  </si>
  <si>
    <t xml:space="preserve">Activos no corrientes </t>
  </si>
  <si>
    <t xml:space="preserve">Cuentas por cobrar a socios </t>
  </si>
  <si>
    <t xml:space="preserve">Propiedad, planta y equipo </t>
  </si>
  <si>
    <t xml:space="preserve">Activos intagibles </t>
  </si>
  <si>
    <t xml:space="preserve">Total activos no corrientes </t>
  </si>
  <si>
    <t xml:space="preserve">Total activos </t>
  </si>
  <si>
    <t xml:space="preserve">PASIVOS </t>
  </si>
  <si>
    <t>Pasivos corrientes</t>
  </si>
  <si>
    <t>Obligaciones financieras</t>
  </si>
  <si>
    <t>proveedores nacionales</t>
  </si>
  <si>
    <t>Costos y gastos por pagar</t>
  </si>
  <si>
    <t>Impuestos, gravamenes y tasas</t>
  </si>
  <si>
    <t xml:space="preserve">Oblugaciones Labolares </t>
  </si>
  <si>
    <t>Total Pasivos corrientes</t>
  </si>
  <si>
    <t xml:space="preserve">Pasivos no corrientes </t>
  </si>
  <si>
    <t>Otras cuentas por pagar</t>
  </si>
  <si>
    <t xml:space="preserve">Anticipos a Clientes </t>
  </si>
  <si>
    <t xml:space="preserve">Total Pasivos no corrientes </t>
  </si>
  <si>
    <t xml:space="preserve">Total pasivos </t>
  </si>
  <si>
    <t>Capital suscrito y pagado</t>
  </si>
  <si>
    <t>Revaloriacion activos diferentes a plusvalia</t>
  </si>
  <si>
    <t xml:space="preserve">Reservas obligatorias y ocasionales </t>
  </si>
  <si>
    <t>Resultado de ejercicios anteriores</t>
  </si>
  <si>
    <t xml:space="preserve">Resultado del ejercicio </t>
  </si>
  <si>
    <t xml:space="preserve">Total patrimonio </t>
  </si>
  <si>
    <t>Patrimonio</t>
  </si>
  <si>
    <t xml:space="preserve">Total pasivo y patrimonio </t>
  </si>
  <si>
    <t xml:space="preserve">Analisis Vertical </t>
  </si>
  <si>
    <t>Analisis Vertical</t>
  </si>
  <si>
    <t>Variacion Absoluta</t>
  </si>
  <si>
    <t>Variacion Relativa</t>
  </si>
  <si>
    <t>Analisis Horizontal</t>
  </si>
  <si>
    <t>Activo Corriente - Inventario</t>
  </si>
  <si>
    <t>Cuentas por cobrar</t>
  </si>
  <si>
    <t>4,808,208,839 - 3,090,849,077</t>
  </si>
  <si>
    <t>INDICADOR DE LIQUIDEZ</t>
  </si>
  <si>
    <t>FORMULA</t>
  </si>
  <si>
    <t>Liquidez Corriente</t>
  </si>
  <si>
    <t>Activo Corriente</t>
  </si>
  <si>
    <t>Pasivo Corriente</t>
  </si>
  <si>
    <t>Prueba Acida</t>
  </si>
  <si>
    <t>Fondo de Maniobra</t>
  </si>
  <si>
    <t>Activo Corriente - Pasivo Corriente</t>
  </si>
  <si>
    <t>INDICADOR DE ENDEUDAMIENTO</t>
  </si>
  <si>
    <t>Endeudamiento del Activo</t>
  </si>
  <si>
    <t>Pasivo Total</t>
  </si>
  <si>
    <t>Activo Total</t>
  </si>
  <si>
    <t>Endeudamiento Patrimonial</t>
  </si>
  <si>
    <t>Endeudamiento a Corto Plazo</t>
  </si>
  <si>
    <t>Endeudamiento a Largo Plazo</t>
  </si>
  <si>
    <t>Pasivo No Corriente</t>
  </si>
  <si>
    <t>Apalancamiento Financiero</t>
  </si>
  <si>
    <t>Pasivos Financieros</t>
  </si>
  <si>
    <t>Apalancamiento Total</t>
  </si>
  <si>
    <t>INDICADOR DE RENTABILIDAD</t>
  </si>
  <si>
    <t>Rentabilidad Por Accion</t>
  </si>
  <si>
    <t>Utilidad Neta</t>
  </si>
  <si>
    <t># De Acciones</t>
  </si>
  <si>
    <t>ROA (Rentabilidas Sobre Los Activos)</t>
  </si>
  <si>
    <t>Total Activos Brutos</t>
  </si>
  <si>
    <t>ROE (Rentabilidad de Inversion)</t>
  </si>
  <si>
    <t>Margen Bruto</t>
  </si>
  <si>
    <t>Utilidad Bruta</t>
  </si>
  <si>
    <t>Ingresos</t>
  </si>
  <si>
    <t>Margen Operacional</t>
  </si>
  <si>
    <t>Utilidad Operacional</t>
  </si>
  <si>
    <t>Margen Neto</t>
  </si>
  <si>
    <t>Utilidad Antes de Impuestos</t>
  </si>
  <si>
    <t>INDICADOR DE EFICIENCIA</t>
  </si>
  <si>
    <t>Rotacion de inventarios</t>
  </si>
  <si>
    <t>Costo de venta</t>
  </si>
  <si>
    <t>Inventario promedio</t>
  </si>
  <si>
    <t>Edad Promedio de Inventario (EPI)</t>
  </si>
  <si>
    <t>Dias / Rotacion de Inv.</t>
  </si>
  <si>
    <t>Rotacion de Cartera</t>
  </si>
  <si>
    <t>Ventas Netas</t>
  </si>
  <si>
    <t>Periodo Promedio de Cobro (PPC)</t>
  </si>
  <si>
    <t>Dias / Rotacion Cartera</t>
  </si>
  <si>
    <t>Rotacion de pagos a Proveedores</t>
  </si>
  <si>
    <t>CXP Proveedores</t>
  </si>
  <si>
    <t>Periodo Promedio de Pagos (PPP)</t>
  </si>
  <si>
    <t>Dias /Rotacion Pago Prov</t>
  </si>
  <si>
    <t>4808208839 - 3695948051</t>
  </si>
  <si>
    <t>1,30</t>
  </si>
  <si>
    <t>0,46</t>
  </si>
  <si>
    <t>0,54</t>
  </si>
  <si>
    <t>0,01</t>
  </si>
  <si>
    <t>0,02</t>
  </si>
  <si>
    <t>0,16</t>
  </si>
  <si>
    <t>0,05</t>
  </si>
  <si>
    <t>0,49</t>
  </si>
  <si>
    <t>0,95</t>
  </si>
  <si>
    <t>0,47</t>
  </si>
  <si>
    <t>Construcción y edificaciones</t>
  </si>
  <si>
    <t>AÑO 2022</t>
  </si>
  <si>
    <t>4,946,892,593-2,203,677,622</t>
  </si>
  <si>
    <t>4,946,892,593-3,826,639,723</t>
  </si>
  <si>
    <t>INDI+A15:C43CADOR DE ENDEUDAMIENTO</t>
  </si>
  <si>
    <t xml:space="preserve">Analisis Vertical y Horizontal Balance general </t>
  </si>
  <si>
    <t xml:space="preserve">Durante el periodo 2022-2023, los activos totales de la empresa se disminuyeron un 8% </t>
  </si>
  <si>
    <t xml:space="preserve">Se puede reflejar que los activos corrientes fueron impulsados especialmente desde el efectivo y equivalente </t>
  </si>
  <si>
    <t xml:space="preserve">Los inventarios fueron mas significativos en el activo corriente representando un 22% en el 2023 frente al 14,54$ del periodo 2022. Se considera que es una proporcion considerablemente alta por lo que podria requerir un gestión cuidadosa para evitar la obsolencia y la degradacion del valor de los anventarios </t>
  </si>
  <si>
    <t xml:space="preserve">Analisis Vertical y Horizontal Estado de resultados </t>
  </si>
  <si>
    <t>3.938.208.839-2.090.849.077</t>
  </si>
  <si>
    <t>3.938.208.839-2.886.583.689</t>
  </si>
  <si>
    <t>Durante el periodo 2022-2023 los ingresos totales de la empresa disminuyeron en un 35%. Esta disminucion se debe principalmente a una reduccion del 38% en los ingresos brutos pudiendo ser por disminucion de ventas.</t>
  </si>
  <si>
    <t>la utilidad bruta disminuyo un 22% lo que sugiere un mejor control de los costos en las operaciones</t>
  </si>
  <si>
    <t>Los costos de ventas representaron un 71% de los ingresos en 2022, pero esta proporcion disminuyo al 53% en el 2023</t>
  </si>
  <si>
    <t>Los gastos del personal aumentaron significativamente del 1% al 3% de los ingresos</t>
  </si>
  <si>
    <t>La depreciacion disminuyo del 3% al 1% lo que podria reflejar una menor inversion en activos fijos durante el periodo</t>
  </si>
  <si>
    <t xml:space="preserve">Mejoras </t>
  </si>
  <si>
    <t>Credito al banco: se desea hacer inversiones para la mejora de nuestra infraestructura e instalaciones, por lo tanto, hemos realizado estas inversiones con el propósito de ampliar nuestra capacidad de producción y mejorar nuestras instalaciones. Esta decisión estratégica se alinea con nuestro objetivo de fortalecer tanto nuestras capacidades administrativas como operativas, en relación con nuestra visión de expansión a otros países</t>
  </si>
  <si>
    <t>Reducción de personal: Implementamos medidas para optimizar la estructura organizativa de nuestra empresa, por lo tanto realizamos una reducción significativa del personal a 13 empleados. Esta decisión estratégica se refleja en una disminución de 200 millones de pesos en los gastos administrativos. Determinamos que el tamaño de nuestro equipo era mayor de lo necesario para cumplir eficazmente con nuestras operaciones y objetivos comerciales actuales. Como resultado, hemos realineado nuestros recursos humanos para garantizar una estructura más ágil y eficiente, sin comprometer la calidad de nuestros servicios ni la excelencia operativa.</t>
  </si>
  <si>
    <t>Inventario: Revisamos nuestro inventario y disminuimos  1.000 millones de pesos. Esta reducción se debió principalmente a la devolución a nuestros proveedores por concepto de averías ya que dichos productos no cumplían con nuestros estándares de calidad. Como resultado de esta devolución  esto fue abonado a los proveedores, Este valor se abonó a los proveedores para reducir la deuda.</t>
  </si>
  <si>
    <t>HONORARIOS: Durante el año en curso, se implementó una estrategia de posicionamiento para fortalecer la presencia de la empresa en el mercado. Como parte de esta iniciativa, se contrató a un tercero para desarrollar la página web corporativa. Esta inversión estratégica no solo tiene como objetivo mejorar la visibilidad en línea, sino también ofrecer una experiencia digital óptima con los clientes y stakeholders.</t>
  </si>
  <si>
    <t>CREDITO BANCARIO: El crédito obtenido del banco ha sido asignado estratégicamente para mejorar las sedes administrativas y de ventas. Esta inversión está dirigida a ampliar y mejorar los acabados de las instalaciones, con el objetivo de lograr un impacto significativo en la infraestructura.</t>
  </si>
  <si>
    <t>Analisis de indicadores</t>
  </si>
  <si>
    <t>La liquidez corriente para el año 2023 fue de 1.30 y luego de las mejoras propuestas se logra un aumento del indicador a 1.36 lo que se traduce en que por cada peso que debe la empresa, tiene 1.36 pesos para pagar. Esto permite que como empresa se tenga una posición más sólida para enfrentar las obligaciones financieras.</t>
  </si>
  <si>
    <t>La prueba ácida mide la capacidad que tiene la empresa para cubrir sus pasivos corrientes sin contar con el inventario. Para el período de 2023 la prueba ácida fue de 0.46 con las mejoras propuestas se logra aumentar el resultado de la prueba a 0.64 lo que indica que con dichas mejoras la compañía ha mejorado significativamente su posición financiera lo que le permite pagar las deudas a corto plazo con los activos líquidos excluyendo el inventario.</t>
  </si>
  <si>
    <t>El indicador de endeudamiento patrimonial mide la proporción de la deuda total de la empresa en relación con su patrimonio. Para el periodo de 2023 el resultado de este indicador se situó en 0.95, y con las mejoras propuestas su resultado fue de 0.84 esta disminución indica que la compañía ha reducido su endeudamiento relativo en comparación con el patrimonio, mejorando así la solidez financiera.</t>
  </si>
  <si>
    <t>El indicador de endeudamiento a corto plazo mide la proporción del pasivo corriente en relación con el pasivo total. Para el periodo 2023 el endeudamiento a corto plazo fue de 0.54 llevando a cabo las mejoras se logró una disminución a 0.47 este resultado indica una menor proporción de deudas a corto plazo dentro del pasivo total. Esto refleja una mejora en la estructura de la deuda de la empresa.</t>
  </si>
  <si>
    <t>El indicado de endeudamiento a largo plazo mide la proporción del pasivo no corriente (deuda a largo plazo) en relación con el pasivo total. Para el 2023 el endeudamiento a largo plazo fue de 0.46 y luego de las mejoras propuestas se situó en 0.53 Esto indica que la empresa ha incrementado su dependencia de la deuda a largo plazo en comparación con su pasivo total, sin embargo, esto hace parte de las estrategias implementadas en las que se busca tener una mayor capacidad para cubrir el endeudamiento a corto plazo y negociaciones más favorables en las obligaciones financieras.</t>
  </si>
  <si>
    <t>La rentabilidad por acción mide la cantidad de utilidad neta que se atribuye a cada acción en circulación. Un aumento en este indicador de 4.85 a 7.83 esto indica que cada acción está generando más ingresos netos, lo que es beneficioso para los accionistas, ya que refleja un mayor retorno sobre su inversión.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</si>
</sst>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quot;$&quot;* #,##0_-;\-&quot;$&quot;* #,##0_-;_-&quot;$&quot;* &quot;-&quot;??_-;_-@_-"/>
    <numFmt numFmtId="165" formatCode="0.000"/>
  </numFmts>
  <fonts count="10"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u/>
      <sz val="11"/>
      <color theme="1"/>
      <name val="Aptos Narrow"/>
      <family val="2"/>
      <scheme val="minor"/>
    </font>
    <font>
      <b/>
      <u/>
      <sz val="11"/>
      <color theme="1"/>
      <name val="Aptos Narrow"/>
      <family val="2"/>
      <scheme val="minor"/>
    </font>
    <font>
      <b/>
      <sz val="12"/>
      <name val="Aptos Narrow"/>
      <family val="2"/>
      <scheme val="minor"/>
    </font>
    <font>
      <sz val="12"/>
      <name val="Aptos Narrow"/>
      <family val="2"/>
      <scheme val="minor"/>
    </font>
    <font>
      <b/>
      <sz val="12"/>
      <color theme="1"/>
      <name val="Aptos Narrow"/>
      <family val="2"/>
      <scheme val="minor"/>
    </font>
    <font>
      <b/>
      <sz val="14"/>
      <color theme="1"/>
      <name val="Aptos Narrow"/>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12">
    <xf numFmtId="0" fontId="0" fillId="0" borderId="0" xfId="0"/>
    <xf numFmtId="0" fontId="3" fillId="0" borderId="0" xfId="0" applyFont="1"/>
    <xf numFmtId="0" fontId="0" fillId="0" borderId="0" xfId="0" applyAlignment="1">
      <alignment horizontal="center"/>
    </xf>
    <xf numFmtId="164" fontId="0" fillId="0" borderId="0" xfId="1" applyNumberFormat="1" applyFont="1" applyAlignment="1">
      <alignment horizontal="left"/>
    </xf>
    <xf numFmtId="164" fontId="3" fillId="0" borderId="0" xfId="1" applyNumberFormat="1" applyFont="1" applyAlignment="1">
      <alignment horizontal="left"/>
    </xf>
    <xf numFmtId="0" fontId="4" fillId="0" borderId="0" xfId="0" applyFont="1" applyAlignment="1">
      <alignment horizontal="center"/>
    </xf>
    <xf numFmtId="164" fontId="0" fillId="0" borderId="0" xfId="1" applyNumberFormat="1" applyFont="1"/>
    <xf numFmtId="164" fontId="3" fillId="0" borderId="0" xfId="1" applyNumberFormat="1" applyFont="1"/>
    <xf numFmtId="0" fontId="3" fillId="0" borderId="1" xfId="0" applyFont="1" applyBorder="1"/>
    <xf numFmtId="0" fontId="0" fillId="0" borderId="1" xfId="0" applyBorder="1"/>
    <xf numFmtId="164" fontId="3" fillId="0" borderId="1" xfId="1" applyNumberFormat="1" applyFont="1" applyBorder="1" applyAlignment="1">
      <alignment horizontal="left"/>
    </xf>
    <xf numFmtId="164" fontId="2" fillId="0" borderId="0" xfId="1" applyNumberFormat="1" applyFont="1" applyAlignment="1">
      <alignment horizontal="left"/>
    </xf>
    <xf numFmtId="164" fontId="2" fillId="0" borderId="0" xfId="1" applyNumberFormat="1" applyFont="1"/>
    <xf numFmtId="164" fontId="0" fillId="0" borderId="1" xfId="1" applyNumberFormat="1" applyFont="1" applyBorder="1" applyAlignment="1">
      <alignment horizontal="left"/>
    </xf>
    <xf numFmtId="0" fontId="3" fillId="0" borderId="2" xfId="0" applyFont="1" applyBorder="1"/>
    <xf numFmtId="0" fontId="0" fillId="0" borderId="2" xfId="0" applyBorder="1"/>
    <xf numFmtId="164" fontId="0" fillId="0" borderId="2" xfId="1" applyNumberFormat="1" applyFont="1" applyBorder="1" applyAlignment="1">
      <alignment horizontal="left"/>
    </xf>
    <xf numFmtId="164" fontId="3" fillId="0" borderId="2" xfId="1" applyNumberFormat="1" applyFont="1" applyBorder="1" applyAlignment="1">
      <alignment horizontal="left"/>
    </xf>
    <xf numFmtId="164" fontId="3" fillId="0" borderId="1" xfId="0" applyNumberFormat="1" applyFont="1" applyBorder="1"/>
    <xf numFmtId="164" fontId="3" fillId="0" borderId="2" xfId="0" applyNumberFormat="1" applyFont="1" applyBorder="1"/>
    <xf numFmtId="0" fontId="5" fillId="0" borderId="0" xfId="0" applyFont="1" applyAlignment="1">
      <alignment horizontal="center"/>
    </xf>
    <xf numFmtId="164" fontId="0" fillId="0" borderId="0" xfId="0" applyNumberFormat="1"/>
    <xf numFmtId="9" fontId="0" fillId="0" borderId="0" xfId="2" applyFont="1"/>
    <xf numFmtId="0" fontId="5" fillId="0" borderId="1" xfId="0" applyFont="1" applyBorder="1"/>
    <xf numFmtId="0" fontId="0" fillId="0" borderId="0" xfId="2" applyNumberFormat="1" applyFont="1"/>
    <xf numFmtId="10" fontId="3" fillId="0" borderId="2" xfId="0" applyNumberFormat="1" applyFont="1" applyBorder="1"/>
    <xf numFmtId="44" fontId="0" fillId="0" borderId="0" xfId="0" applyNumberFormat="1"/>
    <xf numFmtId="44" fontId="0" fillId="0" borderId="0" xfId="1" applyFont="1"/>
    <xf numFmtId="0" fontId="6" fillId="0" borderId="2" xfId="0" applyFont="1" applyBorder="1" applyAlignment="1">
      <alignment horizont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xf numFmtId="0" fontId="7" fillId="0" borderId="1" xfId="0" applyFont="1" applyBorder="1"/>
    <xf numFmtId="0" fontId="6" fillId="0" borderId="0" xfId="0" applyFont="1" applyAlignment="1">
      <alignment vertical="center" wrapText="1"/>
    </xf>
    <xf numFmtId="0" fontId="8"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164" fontId="0" fillId="0" borderId="1" xfId="1" applyNumberFormat="1" applyFont="1" applyBorder="1"/>
    <xf numFmtId="44" fontId="0" fillId="0" borderId="1" xfId="1" applyFont="1" applyBorder="1"/>
    <xf numFmtId="44" fontId="0" fillId="0" borderId="2" xfId="1" applyFont="1" applyBorder="1"/>
    <xf numFmtId="0" fontId="6" fillId="5" borderId="4" xfId="0" applyFont="1" applyFill="1" applyBorder="1" applyAlignment="1">
      <alignment horizontal="center" vertical="center"/>
    </xf>
    <xf numFmtId="0" fontId="6" fillId="0" borderId="5" xfId="0" applyFont="1" applyBorder="1" applyAlignment="1">
      <alignment horizontal="right" vertical="center"/>
    </xf>
    <xf numFmtId="0" fontId="7" fillId="0" borderId="5" xfId="0" applyFont="1" applyBorder="1"/>
    <xf numFmtId="0" fontId="6" fillId="0" borderId="6" xfId="0" applyFont="1" applyBorder="1" applyAlignment="1">
      <alignment horizontal="right" vertical="center"/>
    </xf>
    <xf numFmtId="0" fontId="7" fillId="0" borderId="6" xfId="0" applyFont="1" applyBorder="1"/>
    <xf numFmtId="2" fontId="0" fillId="0" borderId="0" xfId="0" applyNumberFormat="1"/>
    <xf numFmtId="0" fontId="7" fillId="0" borderId="2" xfId="0" applyFont="1" applyBorder="1" applyAlignment="1">
      <alignment horizontal="center" vertical="center"/>
    </xf>
    <xf numFmtId="44" fontId="0" fillId="0" borderId="10" xfId="1" applyFont="1" applyBorder="1"/>
    <xf numFmtId="44" fontId="0" fillId="0" borderId="11" xfId="1" applyFont="1" applyBorder="1"/>
    <xf numFmtId="0" fontId="6" fillId="0" borderId="4" xfId="0" applyFont="1" applyBorder="1" applyAlignment="1">
      <alignment horizontal="right"/>
    </xf>
    <xf numFmtId="0" fontId="6" fillId="0" borderId="2" xfId="0" applyFont="1" applyBorder="1" applyAlignment="1">
      <alignment horizontal="center" vertical="center"/>
    </xf>
    <xf numFmtId="0" fontId="0" fillId="0" borderId="2" xfId="1" applyNumberFormat="1" applyFont="1" applyBorder="1" applyAlignment="1">
      <alignment horizontal="right"/>
    </xf>
    <xf numFmtId="2" fontId="0" fillId="0" borderId="10" xfId="0" applyNumberFormat="1" applyBorder="1" applyAlignment="1">
      <alignment horizontal="center"/>
    </xf>
    <xf numFmtId="0" fontId="0" fillId="0" borderId="2" xfId="1" applyNumberFormat="1" applyFont="1" applyBorder="1"/>
    <xf numFmtId="0" fontId="6" fillId="4" borderId="9" xfId="0" applyFont="1" applyFill="1" applyBorder="1" applyAlignment="1">
      <alignment horizontal="center" vertical="center"/>
    </xf>
    <xf numFmtId="0" fontId="6" fillId="0" borderId="3" xfId="0" applyFont="1" applyBorder="1" applyAlignment="1">
      <alignment horizontal="center"/>
    </xf>
    <xf numFmtId="0" fontId="0" fillId="0" borderId="3" xfId="0" applyBorder="1"/>
    <xf numFmtId="0" fontId="6" fillId="3" borderId="9" xfId="0" applyFont="1" applyFill="1" applyBorder="1" applyAlignment="1">
      <alignment horizontal="center" vertical="center"/>
    </xf>
    <xf numFmtId="164" fontId="0" fillId="0" borderId="2" xfId="1" applyNumberFormat="1" applyFont="1" applyBorder="1"/>
    <xf numFmtId="0" fontId="6" fillId="2" borderId="9" xfId="0" applyFont="1" applyFill="1" applyBorder="1" applyAlignment="1">
      <alignment horizontal="center" vertical="center"/>
    </xf>
    <xf numFmtId="164" fontId="0" fillId="0" borderId="3" xfId="1" applyNumberFormat="1" applyFont="1" applyBorder="1"/>
    <xf numFmtId="0" fontId="6" fillId="0" borderId="9" xfId="0" applyFont="1" applyBorder="1" applyAlignment="1">
      <alignment horizontal="right" vertical="center"/>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6" fillId="0" borderId="9" xfId="0" applyFont="1" applyBorder="1" applyAlignment="1">
      <alignment horizontal="right" vertical="center"/>
    </xf>
    <xf numFmtId="0" fontId="6" fillId="0" borderId="6" xfId="0" applyFont="1" applyBorder="1" applyAlignment="1">
      <alignment horizontal="right" vertical="center"/>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2" xfId="0" applyBorder="1" applyAlignment="1">
      <alignment horizontal="center" vertical="center"/>
    </xf>
    <xf numFmtId="0" fontId="0" fillId="0" borderId="11" xfId="0" applyBorder="1" applyAlignment="1">
      <alignment horizontal="center" vertical="center"/>
    </xf>
    <xf numFmtId="164" fontId="0" fillId="0" borderId="12" xfId="1" applyNumberFormat="1" applyFont="1" applyBorder="1" applyAlignment="1">
      <alignment horizontal="center"/>
    </xf>
    <xf numFmtId="164" fontId="0" fillId="0" borderId="11" xfId="1" applyNumberFormat="1" applyFont="1" applyBorder="1" applyAlignment="1">
      <alignment horizont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2" xfId="1" applyNumberFormat="1" applyFont="1" applyBorder="1" applyAlignment="1">
      <alignment horizontal="center" vertical="center"/>
    </xf>
    <xf numFmtId="2" fontId="0" fillId="0" borderId="11" xfId="1" applyNumberFormat="1" applyFont="1" applyBorder="1" applyAlignment="1">
      <alignment horizontal="center" vertical="center"/>
    </xf>
    <xf numFmtId="165" fontId="0" fillId="0" borderId="12" xfId="0" applyNumberFormat="1" applyBorder="1" applyAlignment="1">
      <alignment horizontal="center" vertical="center"/>
    </xf>
    <xf numFmtId="165" fontId="0" fillId="0" borderId="11" xfId="0" applyNumberFormat="1" applyBorder="1" applyAlignment="1">
      <alignment horizontal="center" vertical="center"/>
    </xf>
    <xf numFmtId="2" fontId="0" fillId="0" borderId="12" xfId="0" applyNumberFormat="1" applyBorder="1" applyAlignment="1">
      <alignment horizontal="center" vertical="center"/>
    </xf>
    <xf numFmtId="2" fontId="0" fillId="0" borderId="11" xfId="0" applyNumberFormat="1" applyBorder="1" applyAlignment="1">
      <alignment horizontal="center" vertical="center"/>
    </xf>
    <xf numFmtId="44" fontId="0" fillId="0" borderId="12" xfId="0" applyNumberFormat="1" applyBorder="1" applyAlignment="1">
      <alignment horizontal="center" vertical="center"/>
    </xf>
    <xf numFmtId="44" fontId="0" fillId="0" borderId="11" xfId="0" applyNumberFormat="1" applyBorder="1" applyAlignment="1">
      <alignment horizontal="center" vertical="center"/>
    </xf>
    <xf numFmtId="164" fontId="0" fillId="5" borderId="0" xfId="1" applyNumberFormat="1" applyFont="1" applyFill="1" applyAlignment="1">
      <alignment horizontal="left"/>
    </xf>
    <xf numFmtId="164" fontId="0" fillId="2" borderId="0" xfId="1" applyNumberFormat="1" applyFont="1" applyFill="1" applyAlignment="1">
      <alignment horizontal="left"/>
    </xf>
    <xf numFmtId="9" fontId="0" fillId="0" borderId="0" xfId="1" applyNumberFormat="1" applyFont="1" applyAlignment="1">
      <alignment horizontal="right"/>
    </xf>
    <xf numFmtId="9" fontId="0" fillId="0" borderId="0" xfId="2" applyNumberFormat="1" applyFont="1"/>
    <xf numFmtId="9" fontId="0" fillId="0" borderId="0" xfId="1" applyNumberFormat="1" applyFont="1" applyAlignment="1">
      <alignment horizontal="left" indent="12"/>
    </xf>
    <xf numFmtId="0" fontId="0" fillId="0" borderId="1" xfId="0" applyBorder="1" applyAlignment="1">
      <alignment horizontal="center"/>
    </xf>
    <xf numFmtId="9" fontId="0" fillId="0" borderId="0" xfId="0" applyNumberFormat="1"/>
    <xf numFmtId="164" fontId="0" fillId="0" borderId="0" xfId="2" applyNumberFormat="1" applyFont="1"/>
    <xf numFmtId="0" fontId="6" fillId="2" borderId="9" xfId="0" applyFont="1" applyFill="1" applyBorder="1" applyAlignment="1">
      <alignment horizontal="center" vertical="center"/>
    </xf>
    <xf numFmtId="0" fontId="6" fillId="2" borderId="3" xfId="0" applyFont="1" applyFill="1" applyBorder="1" applyAlignment="1">
      <alignment horizontal="center" vertical="center"/>
    </xf>
    <xf numFmtId="164" fontId="0" fillId="0" borderId="4" xfId="1" applyNumberFormat="1" applyFont="1" applyBorder="1"/>
    <xf numFmtId="164" fontId="0" fillId="0" borderId="6" xfId="1" applyNumberFormat="1" applyFont="1" applyBorder="1"/>
    <xf numFmtId="44" fontId="0" fillId="0" borderId="4" xfId="1" applyFont="1" applyBorder="1"/>
    <xf numFmtId="164" fontId="0" fillId="0" borderId="9" xfId="1" applyNumberFormat="1" applyFont="1" applyBorder="1" applyAlignment="1">
      <alignment horizontal="center"/>
    </xf>
    <xf numFmtId="164" fontId="0" fillId="0" borderId="12" xfId="1" applyNumberFormat="1" applyFont="1" applyBorder="1" applyAlignment="1">
      <alignment horizontal="center" vertical="center"/>
    </xf>
    <xf numFmtId="164" fontId="0" fillId="0" borderId="6" xfId="1" applyNumberFormat="1" applyFont="1" applyBorder="1" applyAlignment="1">
      <alignment horizontal="center"/>
    </xf>
    <xf numFmtId="164" fontId="0" fillId="0" borderId="11" xfId="1" applyNumberFormat="1" applyFont="1" applyBorder="1" applyAlignment="1">
      <alignment horizontal="center" vertical="center"/>
    </xf>
    <xf numFmtId="0" fontId="9" fillId="2" borderId="0" xfId="0" applyFont="1" applyFill="1" applyAlignment="1">
      <alignment horizontal="center"/>
    </xf>
    <xf numFmtId="0" fontId="0" fillId="0" borderId="0" xfId="0" applyAlignment="1"/>
    <xf numFmtId="164" fontId="0" fillId="0" borderId="1" xfId="1" applyNumberFormat="1" applyFont="1" applyBorder="1" applyAlignment="1">
      <alignment horizontal="center" vertical="center"/>
    </xf>
    <xf numFmtId="44" fontId="0" fillId="0" borderId="2" xfId="1" applyFont="1" applyBorder="1" applyAlignment="1">
      <alignment horizontal="right"/>
    </xf>
    <xf numFmtId="164" fontId="0" fillId="0" borderId="2" xfId="1" applyNumberFormat="1" applyFont="1" applyBorder="1" applyAlignment="1">
      <alignment horizontal="center" vertical="center"/>
    </xf>
    <xf numFmtId="43" fontId="0" fillId="0" borderId="13" xfId="3" applyFont="1" applyBorder="1" applyAlignment="1">
      <alignment horizontal="center" wrapText="1"/>
    </xf>
    <xf numFmtId="0" fontId="0" fillId="0" borderId="13" xfId="0" applyBorder="1" applyAlignment="1">
      <alignment horizontal="center" vertical="center" wrapText="1"/>
    </xf>
    <xf numFmtId="0" fontId="0" fillId="0" borderId="13" xfId="0" applyBorder="1" applyAlignment="1">
      <alignment horizontal="center" wrapText="1"/>
    </xf>
    <xf numFmtId="0" fontId="0" fillId="2" borderId="13" xfId="0" applyFill="1" applyBorder="1" applyAlignment="1">
      <alignment horizontal="center"/>
    </xf>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DAD4-37B9-4667-BB7A-562B7F2B5B8F}">
  <dimension ref="B1:H101"/>
  <sheetViews>
    <sheetView topLeftCell="A60" zoomScale="110" zoomScaleNormal="110" workbookViewId="0">
      <selection activeCell="D82" sqref="D82"/>
    </sheetView>
  </sheetViews>
  <sheetFormatPr baseColWidth="10" defaultRowHeight="15" x14ac:dyDescent="0.25"/>
  <cols>
    <col min="2" max="2" width="34" customWidth="1"/>
    <col min="4" max="4" width="21.5703125" bestFit="1" customWidth="1"/>
    <col min="5" max="5" width="20.85546875" bestFit="1" customWidth="1"/>
    <col min="6" max="6" width="23.28515625" customWidth="1"/>
    <col min="7" max="7" width="15.140625" bestFit="1" customWidth="1"/>
    <col min="8" max="8" width="13.5703125" bestFit="1" customWidth="1"/>
  </cols>
  <sheetData>
    <row r="1" spans="2:8" x14ac:dyDescent="0.25">
      <c r="B1" s="67" t="s">
        <v>35</v>
      </c>
      <c r="C1" s="67"/>
      <c r="D1" s="67"/>
      <c r="E1" s="67"/>
    </row>
    <row r="2" spans="2:8" x14ac:dyDescent="0.25">
      <c r="B2" s="67" t="s">
        <v>36</v>
      </c>
      <c r="C2" s="66"/>
      <c r="D2" s="66"/>
      <c r="E2" s="66"/>
    </row>
    <row r="3" spans="2:8" x14ac:dyDescent="0.25">
      <c r="B3" s="66" t="s">
        <v>37</v>
      </c>
      <c r="C3" s="66"/>
      <c r="D3" s="66"/>
      <c r="E3" s="66"/>
    </row>
    <row r="4" spans="2:8" x14ac:dyDescent="0.25">
      <c r="B4" s="2"/>
      <c r="C4" s="2"/>
      <c r="D4" s="2"/>
      <c r="E4" s="2"/>
    </row>
    <row r="5" spans="2:8" x14ac:dyDescent="0.25">
      <c r="B5" s="2"/>
      <c r="C5" s="2"/>
      <c r="D5" s="5">
        <v>2023</v>
      </c>
      <c r="E5" s="5">
        <v>2022</v>
      </c>
      <c r="F5" s="1"/>
    </row>
    <row r="6" spans="2:8" x14ac:dyDescent="0.25">
      <c r="B6" s="2"/>
      <c r="C6" s="2"/>
      <c r="D6" s="2"/>
      <c r="E6" s="2"/>
    </row>
    <row r="7" spans="2:8" x14ac:dyDescent="0.25">
      <c r="B7" t="s">
        <v>0</v>
      </c>
      <c r="D7" s="3">
        <v>13129391378</v>
      </c>
      <c r="E7" s="6">
        <v>20224746173</v>
      </c>
    </row>
    <row r="8" spans="2:8" x14ac:dyDescent="0.25">
      <c r="B8" t="s">
        <v>1</v>
      </c>
      <c r="D8" s="11">
        <v>1021525896</v>
      </c>
      <c r="E8" s="12">
        <v>727750401</v>
      </c>
    </row>
    <row r="9" spans="2:8" x14ac:dyDescent="0.25">
      <c r="B9" s="1" t="s">
        <v>2</v>
      </c>
      <c r="D9" s="4">
        <f>+D7-D8</f>
        <v>12107865482</v>
      </c>
      <c r="E9" s="7">
        <f>E7-E8</f>
        <v>19496995772</v>
      </c>
    </row>
    <row r="10" spans="2:8" x14ac:dyDescent="0.25">
      <c r="B10" s="1" t="s">
        <v>3</v>
      </c>
      <c r="D10" s="3"/>
      <c r="E10" s="6"/>
    </row>
    <row r="11" spans="2:8" x14ac:dyDescent="0.25">
      <c r="B11" t="s">
        <v>4</v>
      </c>
      <c r="D11" s="3">
        <v>6968671419</v>
      </c>
      <c r="E11" s="6">
        <v>14318042012</v>
      </c>
    </row>
    <row r="12" spans="2:8" x14ac:dyDescent="0.25">
      <c r="B12" t="s">
        <v>3</v>
      </c>
      <c r="D12" s="3">
        <v>3244017397</v>
      </c>
      <c r="E12" s="6">
        <v>2739821393</v>
      </c>
    </row>
    <row r="13" spans="2:8" x14ac:dyDescent="0.25">
      <c r="B13" s="1" t="s">
        <v>5</v>
      </c>
      <c r="D13" s="4">
        <f>+D11+D12</f>
        <v>10212688816</v>
      </c>
      <c r="E13" s="7">
        <f>E11+E12</f>
        <v>17057863405</v>
      </c>
    </row>
    <row r="14" spans="2:8" x14ac:dyDescent="0.25">
      <c r="B14" s="1" t="s">
        <v>7</v>
      </c>
      <c r="D14" s="4">
        <f>+D9-D13</f>
        <v>1895176666</v>
      </c>
      <c r="E14" s="7">
        <f>+E9-E13</f>
        <v>2439132367</v>
      </c>
      <c r="H14" s="21"/>
    </row>
    <row r="15" spans="2:8" x14ac:dyDescent="0.25">
      <c r="B15" s="1" t="s">
        <v>6</v>
      </c>
      <c r="D15" s="4">
        <f>SUM(D16:D26)</f>
        <v>517745923</v>
      </c>
      <c r="E15" s="7">
        <f>SUM(E16:E26)</f>
        <v>986824024</v>
      </c>
      <c r="F15" s="21"/>
    </row>
    <row r="16" spans="2:8" x14ac:dyDescent="0.25">
      <c r="B16" t="s">
        <v>8</v>
      </c>
      <c r="D16" s="86">
        <f>415017492-200000000</f>
        <v>215017492</v>
      </c>
      <c r="E16" s="6">
        <v>245094841</v>
      </c>
      <c r="F16" s="27"/>
      <c r="G16" s="27"/>
    </row>
    <row r="17" spans="2:6" x14ac:dyDescent="0.25">
      <c r="B17" t="s">
        <v>9</v>
      </c>
      <c r="D17" s="87">
        <v>50000000</v>
      </c>
      <c r="E17" s="6">
        <v>62376618</v>
      </c>
      <c r="F17" s="27"/>
    </row>
    <row r="18" spans="2:6" x14ac:dyDescent="0.25">
      <c r="B18" t="s">
        <v>10</v>
      </c>
      <c r="D18" s="3">
        <v>4092155</v>
      </c>
      <c r="E18" s="6">
        <v>5021493</v>
      </c>
      <c r="F18" s="27"/>
    </row>
    <row r="19" spans="2:6" x14ac:dyDescent="0.25">
      <c r="B19" t="s">
        <v>11</v>
      </c>
      <c r="D19" s="3">
        <v>0</v>
      </c>
      <c r="E19" s="6">
        <v>443000</v>
      </c>
      <c r="F19" s="27"/>
    </row>
    <row r="20" spans="2:6" x14ac:dyDescent="0.25">
      <c r="B20" t="s">
        <v>12</v>
      </c>
      <c r="D20" s="3">
        <v>15536776</v>
      </c>
      <c r="E20" s="6">
        <v>2911811</v>
      </c>
      <c r="F20" s="26"/>
    </row>
    <row r="21" spans="2:6" x14ac:dyDescent="0.25">
      <c r="B21" t="s">
        <v>13</v>
      </c>
      <c r="D21" s="3">
        <v>19085217</v>
      </c>
      <c r="E21" s="6">
        <v>22331460</v>
      </c>
    </row>
    <row r="22" spans="2:6" x14ac:dyDescent="0.25">
      <c r="B22" t="s">
        <v>14</v>
      </c>
      <c r="D22" s="3">
        <v>4261833</v>
      </c>
      <c r="E22" s="6">
        <v>14341186</v>
      </c>
    </row>
    <row r="23" spans="2:6" x14ac:dyDescent="0.25">
      <c r="B23" t="s">
        <v>15</v>
      </c>
      <c r="D23" s="3">
        <v>1191109</v>
      </c>
      <c r="E23" s="6">
        <v>4314917</v>
      </c>
    </row>
    <row r="24" spans="2:6" x14ac:dyDescent="0.25">
      <c r="B24" t="s">
        <v>142</v>
      </c>
      <c r="D24" s="3">
        <v>95674374</v>
      </c>
      <c r="E24" s="6"/>
      <c r="F24" s="27"/>
    </row>
    <row r="25" spans="2:6" x14ac:dyDescent="0.25">
      <c r="B25" t="s">
        <v>16</v>
      </c>
      <c r="D25" s="3">
        <v>88873773</v>
      </c>
      <c r="E25" s="6">
        <v>622650168</v>
      </c>
      <c r="F25" s="27"/>
    </row>
    <row r="26" spans="2:6" x14ac:dyDescent="0.25">
      <c r="B26" t="s">
        <v>17</v>
      </c>
      <c r="D26" s="3">
        <v>24013194</v>
      </c>
      <c r="E26" s="6">
        <v>7338530</v>
      </c>
    </row>
    <row r="27" spans="2:6" x14ac:dyDescent="0.25">
      <c r="B27" s="1" t="s">
        <v>18</v>
      </c>
      <c r="D27" s="4">
        <f>+D28+D29+D30+D31+D32+D33+D34+D36+D37</f>
        <v>660523714</v>
      </c>
      <c r="E27" s="7">
        <f>SUM(E28:E37)</f>
        <v>600515487</v>
      </c>
    </row>
    <row r="28" spans="2:6" x14ac:dyDescent="0.25">
      <c r="B28" t="s">
        <v>19</v>
      </c>
      <c r="D28" s="3">
        <v>418638328</v>
      </c>
      <c r="E28" s="6">
        <v>414802619</v>
      </c>
    </row>
    <row r="29" spans="2:6" x14ac:dyDescent="0.25">
      <c r="B29" t="s">
        <v>9</v>
      </c>
      <c r="D29" s="3">
        <v>19040000</v>
      </c>
      <c r="E29" s="6">
        <v>3752000</v>
      </c>
    </row>
    <row r="30" spans="2:6" x14ac:dyDescent="0.25">
      <c r="B30" t="s">
        <v>10</v>
      </c>
      <c r="D30" s="3">
        <v>56045451</v>
      </c>
      <c r="E30" s="6">
        <v>67690293</v>
      </c>
    </row>
    <row r="31" spans="2:6" x14ac:dyDescent="0.25">
      <c r="B31" t="s">
        <v>12</v>
      </c>
      <c r="D31" s="3">
        <v>11876380</v>
      </c>
      <c r="E31" s="6">
        <v>5412920</v>
      </c>
      <c r="F31" s="21"/>
    </row>
    <row r="32" spans="2:6" x14ac:dyDescent="0.25">
      <c r="B32" t="s">
        <v>13</v>
      </c>
      <c r="D32" s="3">
        <v>77668462</v>
      </c>
      <c r="E32" s="6">
        <v>72802276</v>
      </c>
    </row>
    <row r="33" spans="2:8" x14ac:dyDescent="0.25">
      <c r="B33" t="s">
        <v>20</v>
      </c>
      <c r="D33" s="3">
        <v>870349</v>
      </c>
      <c r="E33" s="6">
        <v>1446000</v>
      </c>
    </row>
    <row r="34" spans="2:8" x14ac:dyDescent="0.25">
      <c r="B34" t="s">
        <v>15</v>
      </c>
      <c r="D34" s="3">
        <v>16112922</v>
      </c>
      <c r="E34" s="6">
        <v>11966845</v>
      </c>
    </row>
    <row r="35" spans="2:8" x14ac:dyDescent="0.25">
      <c r="B35" t="s">
        <v>142</v>
      </c>
      <c r="D35" s="3">
        <v>204325626</v>
      </c>
      <c r="E35" s="6"/>
    </row>
    <row r="36" spans="2:8" x14ac:dyDescent="0.25">
      <c r="B36" t="s">
        <v>16</v>
      </c>
      <c r="D36" s="3">
        <v>54625948</v>
      </c>
      <c r="E36" s="6">
        <v>0</v>
      </c>
    </row>
    <row r="37" spans="2:8" x14ac:dyDescent="0.25">
      <c r="B37" t="s">
        <v>17</v>
      </c>
      <c r="D37" s="3">
        <v>5645874</v>
      </c>
      <c r="E37" s="6">
        <v>22642534</v>
      </c>
    </row>
    <row r="38" spans="2:8" x14ac:dyDescent="0.25">
      <c r="B38" s="1" t="s">
        <v>21</v>
      </c>
      <c r="D38" s="4">
        <f>+D14-D15-D27</f>
        <v>716907029</v>
      </c>
      <c r="E38" s="7">
        <f>+E14-E15-E27</f>
        <v>851792856</v>
      </c>
      <c r="H38" s="21"/>
    </row>
    <row r="39" spans="2:8" x14ac:dyDescent="0.25">
      <c r="B39" s="1" t="s">
        <v>22</v>
      </c>
      <c r="D39" s="4">
        <f>SUM(D40:D45)</f>
        <v>352169061</v>
      </c>
      <c r="E39" s="7">
        <f>SUM(E40:E45)</f>
        <v>220508657</v>
      </c>
      <c r="H39" s="21"/>
    </row>
    <row r="40" spans="2:8" x14ac:dyDescent="0.25">
      <c r="B40" t="s">
        <v>23</v>
      </c>
      <c r="D40" s="3">
        <v>69693053</v>
      </c>
      <c r="E40" s="6">
        <v>15954457</v>
      </c>
      <c r="H40" s="21"/>
    </row>
    <row r="41" spans="2:8" x14ac:dyDescent="0.25">
      <c r="B41" t="s">
        <v>24</v>
      </c>
      <c r="D41" s="3">
        <v>1179645</v>
      </c>
      <c r="E41" s="6">
        <v>598981</v>
      </c>
      <c r="H41" s="21"/>
    </row>
    <row r="42" spans="2:8" x14ac:dyDescent="0.25">
      <c r="B42" t="s">
        <v>25</v>
      </c>
      <c r="D42" s="3">
        <v>207923474</v>
      </c>
      <c r="E42" s="6">
        <v>72912333</v>
      </c>
    </row>
    <row r="43" spans="2:8" x14ac:dyDescent="0.25">
      <c r="B43" t="s">
        <v>26</v>
      </c>
      <c r="D43" s="3">
        <v>19291116</v>
      </c>
      <c r="E43" s="6">
        <v>24363372</v>
      </c>
    </row>
    <row r="44" spans="2:8" x14ac:dyDescent="0.25">
      <c r="B44" t="s">
        <v>27</v>
      </c>
      <c r="D44" s="3">
        <v>1081773</v>
      </c>
      <c r="E44" s="6">
        <v>43679514</v>
      </c>
    </row>
    <row r="45" spans="2:8" x14ac:dyDescent="0.25">
      <c r="B45" t="s">
        <v>28</v>
      </c>
      <c r="D45" s="3">
        <v>53000000</v>
      </c>
      <c r="E45" s="6">
        <v>63000000</v>
      </c>
    </row>
    <row r="46" spans="2:8" x14ac:dyDescent="0.25">
      <c r="B46" s="1" t="s">
        <v>29</v>
      </c>
      <c r="D46" s="4">
        <f>D47+D48+D49+D50</f>
        <v>707838053</v>
      </c>
      <c r="E46" s="7">
        <f>SUM(E47:E50)</f>
        <v>653860511</v>
      </c>
    </row>
    <row r="47" spans="2:8" x14ac:dyDescent="0.25">
      <c r="B47" t="s">
        <v>30</v>
      </c>
      <c r="D47" s="3">
        <v>532608317</v>
      </c>
      <c r="E47" s="6">
        <v>482310386</v>
      </c>
    </row>
    <row r="48" spans="2:8" x14ac:dyDescent="0.25">
      <c r="B48" t="s">
        <v>31</v>
      </c>
      <c r="D48" s="3">
        <v>59516403</v>
      </c>
      <c r="E48" s="6">
        <v>82041710</v>
      </c>
    </row>
    <row r="49" spans="2:7" x14ac:dyDescent="0.25">
      <c r="B49" t="s">
        <v>38</v>
      </c>
      <c r="D49" s="3">
        <v>1200407</v>
      </c>
      <c r="E49" s="6">
        <v>77478040</v>
      </c>
    </row>
    <row r="50" spans="2:7" x14ac:dyDescent="0.25">
      <c r="B50" t="s">
        <v>17</v>
      </c>
      <c r="D50" s="3">
        <v>114512926</v>
      </c>
      <c r="E50" s="6">
        <v>12030375</v>
      </c>
    </row>
    <row r="51" spans="2:7" x14ac:dyDescent="0.25">
      <c r="B51" s="1" t="s">
        <v>32</v>
      </c>
      <c r="D51" s="4">
        <f>+D38+D39-D46</f>
        <v>361238037</v>
      </c>
      <c r="E51" s="7">
        <f>+E38+E39-E46</f>
        <v>418441002</v>
      </c>
    </row>
    <row r="52" spans="2:7" x14ac:dyDescent="0.25">
      <c r="B52" t="s">
        <v>33</v>
      </c>
      <c r="D52" s="3">
        <f>+D51*35%</f>
        <v>126433312.94999999</v>
      </c>
      <c r="E52" s="6">
        <v>162696411</v>
      </c>
    </row>
    <row r="53" spans="2:7" x14ac:dyDescent="0.25">
      <c r="B53" s="1" t="s">
        <v>34</v>
      </c>
      <c r="D53" s="4">
        <f>+D51-D52</f>
        <v>234804724.05000001</v>
      </c>
      <c r="E53" s="7">
        <f>+E51-E52</f>
        <v>255744591</v>
      </c>
      <c r="G53" s="21"/>
    </row>
    <row r="54" spans="2:7" x14ac:dyDescent="0.25">
      <c r="D54" s="21">
        <f>+D14-D15-D27</f>
        <v>716907029</v>
      </c>
    </row>
    <row r="55" spans="2:7" x14ac:dyDescent="0.25">
      <c r="D55" s="21"/>
    </row>
    <row r="56" spans="2:7" x14ac:dyDescent="0.25">
      <c r="B56" s="67" t="s">
        <v>39</v>
      </c>
      <c r="C56" s="67"/>
      <c r="D56" s="67"/>
      <c r="E56" s="67"/>
    </row>
    <row r="57" spans="2:7" x14ac:dyDescent="0.25">
      <c r="B57" s="67" t="s">
        <v>36</v>
      </c>
      <c r="C57" s="67"/>
      <c r="D57" s="67"/>
      <c r="E57" s="67"/>
    </row>
    <row r="58" spans="2:7" x14ac:dyDescent="0.25">
      <c r="B58" s="66" t="s">
        <v>37</v>
      </c>
      <c r="C58" s="66"/>
      <c r="D58" s="66"/>
      <c r="E58" s="66"/>
    </row>
    <row r="61" spans="2:7" x14ac:dyDescent="0.25">
      <c r="B61" s="1" t="s">
        <v>40</v>
      </c>
    </row>
    <row r="62" spans="2:7" x14ac:dyDescent="0.25">
      <c r="B62" s="1" t="s">
        <v>41</v>
      </c>
      <c r="D62" s="21"/>
    </row>
    <row r="63" spans="2:7" x14ac:dyDescent="0.25">
      <c r="B63" t="s">
        <v>42</v>
      </c>
      <c r="D63" s="86">
        <f>353386148+130000000</f>
        <v>483386148</v>
      </c>
      <c r="E63" s="3">
        <v>100928394</v>
      </c>
    </row>
    <row r="64" spans="2:7" x14ac:dyDescent="0.25">
      <c r="B64" t="s">
        <v>43</v>
      </c>
      <c r="D64" s="3">
        <v>440207</v>
      </c>
      <c r="E64" s="3">
        <v>2350493</v>
      </c>
    </row>
    <row r="65" spans="2:6" x14ac:dyDescent="0.25">
      <c r="B65" t="s">
        <v>44</v>
      </c>
      <c r="D65" s="3">
        <v>1113227848</v>
      </c>
      <c r="E65" s="3">
        <v>2377481741</v>
      </c>
    </row>
    <row r="66" spans="2:6" x14ac:dyDescent="0.25">
      <c r="B66" t="s">
        <v>45</v>
      </c>
      <c r="D66" s="3">
        <v>236987486</v>
      </c>
      <c r="E66" s="3">
        <v>257207644</v>
      </c>
    </row>
    <row r="67" spans="2:6" x14ac:dyDescent="0.25">
      <c r="B67" t="s">
        <v>46</v>
      </c>
      <c r="D67" s="86">
        <f>3090849077-1000000000</f>
        <v>2090849077</v>
      </c>
      <c r="E67" s="3">
        <v>2203677622</v>
      </c>
      <c r="F67" s="27"/>
    </row>
    <row r="68" spans="2:6" x14ac:dyDescent="0.25">
      <c r="B68" t="s">
        <v>47</v>
      </c>
      <c r="D68" s="3">
        <v>13318073</v>
      </c>
      <c r="E68" s="3">
        <v>5246699</v>
      </c>
    </row>
    <row r="69" spans="2:6" x14ac:dyDescent="0.25">
      <c r="B69" s="8" t="s">
        <v>48</v>
      </c>
      <c r="C69" s="9"/>
      <c r="D69" s="10">
        <f>SUM(D63:D68)</f>
        <v>3938208839</v>
      </c>
      <c r="E69" s="10">
        <f>SUM(E63:E68)</f>
        <v>4946892593</v>
      </c>
    </row>
    <row r="70" spans="2:6" x14ac:dyDescent="0.25">
      <c r="B70" s="1" t="s">
        <v>49</v>
      </c>
      <c r="D70" s="3"/>
      <c r="E70" s="3"/>
    </row>
    <row r="71" spans="2:6" x14ac:dyDescent="0.25">
      <c r="B71" t="s">
        <v>50</v>
      </c>
      <c r="D71" s="3">
        <v>0</v>
      </c>
      <c r="E71" s="3">
        <v>20371988</v>
      </c>
    </row>
    <row r="72" spans="2:6" x14ac:dyDescent="0.25">
      <c r="B72" t="s">
        <v>51</v>
      </c>
      <c r="D72" s="3">
        <f>12362211201+300000000</f>
        <v>12662211201</v>
      </c>
      <c r="E72" s="3">
        <v>12350743865</v>
      </c>
    </row>
    <row r="73" spans="2:6" x14ac:dyDescent="0.25">
      <c r="B73" t="s">
        <v>52</v>
      </c>
      <c r="D73" s="3">
        <v>1285459000</v>
      </c>
      <c r="E73" s="3">
        <v>1285459000</v>
      </c>
    </row>
    <row r="74" spans="2:6" x14ac:dyDescent="0.25">
      <c r="B74" t="s">
        <v>16</v>
      </c>
      <c r="D74" s="11">
        <v>4441205540</v>
      </c>
      <c r="E74" s="11">
        <v>3448539522</v>
      </c>
    </row>
    <row r="75" spans="2:6" x14ac:dyDescent="0.25">
      <c r="B75" s="8" t="s">
        <v>53</v>
      </c>
      <c r="C75" s="9"/>
      <c r="D75" s="13">
        <f>+D72+D73-D74</f>
        <v>9506464661</v>
      </c>
      <c r="E75" s="13">
        <f>+E71+E72+E73-E74</f>
        <v>10208035331</v>
      </c>
    </row>
    <row r="76" spans="2:6" x14ac:dyDescent="0.25">
      <c r="B76" s="14" t="s">
        <v>54</v>
      </c>
      <c r="C76" s="15"/>
      <c r="D76" s="16">
        <f>+D75+D69</f>
        <v>13444673500</v>
      </c>
      <c r="E76" s="16">
        <f>+E75+E69</f>
        <v>15154927924</v>
      </c>
    </row>
    <row r="77" spans="2:6" x14ac:dyDescent="0.25">
      <c r="B77" s="1" t="s">
        <v>55</v>
      </c>
      <c r="D77" s="3"/>
      <c r="E77" s="3"/>
    </row>
    <row r="78" spans="2:6" x14ac:dyDescent="0.25">
      <c r="B78" s="1" t="s">
        <v>56</v>
      </c>
      <c r="D78" s="3"/>
      <c r="E78" s="3"/>
    </row>
    <row r="79" spans="2:6" x14ac:dyDescent="0.25">
      <c r="B79" t="s">
        <v>57</v>
      </c>
      <c r="D79" s="87">
        <f>240014466+150000000</f>
        <v>390014466</v>
      </c>
      <c r="E79" s="3">
        <v>175680539</v>
      </c>
      <c r="F79" s="27"/>
    </row>
    <row r="80" spans="2:6" x14ac:dyDescent="0.25">
      <c r="B80" t="s">
        <v>58</v>
      </c>
      <c r="D80" s="86">
        <f>2945168359-1000000000</f>
        <v>1945168359</v>
      </c>
      <c r="E80" s="3">
        <v>2969700691</v>
      </c>
      <c r="F80" s="27"/>
    </row>
    <row r="81" spans="2:6" x14ac:dyDescent="0.25">
      <c r="B81" t="s">
        <v>59</v>
      </c>
      <c r="D81" s="3">
        <f>182633328-21552705+62188343</f>
        <v>223268966</v>
      </c>
      <c r="E81" s="3">
        <v>266419647</v>
      </c>
      <c r="F81" s="27"/>
    </row>
    <row r="82" spans="2:6" x14ac:dyDescent="0.25">
      <c r="B82" t="s">
        <v>60</v>
      </c>
      <c r="D82" s="3">
        <v>135331026</v>
      </c>
      <c r="E82" s="3">
        <v>199830652</v>
      </c>
      <c r="F82" s="27"/>
    </row>
    <row r="83" spans="2:6" x14ac:dyDescent="0.25">
      <c r="B83" t="s">
        <v>61</v>
      </c>
      <c r="D83" s="3">
        <v>192800872</v>
      </c>
      <c r="E83" s="3">
        <v>215008194</v>
      </c>
      <c r="F83" s="27"/>
    </row>
    <row r="84" spans="2:6" x14ac:dyDescent="0.25">
      <c r="B84" s="8" t="s">
        <v>62</v>
      </c>
      <c r="C84" s="9"/>
      <c r="D84" s="10">
        <f>SUM(D79:D83)</f>
        <v>2886583689</v>
      </c>
      <c r="E84" s="10">
        <f>SUM(E79:E83)</f>
        <v>3826639723</v>
      </c>
      <c r="F84" s="27"/>
    </row>
    <row r="85" spans="2:6" x14ac:dyDescent="0.25">
      <c r="B85" s="1" t="s">
        <v>63</v>
      </c>
      <c r="D85" s="3"/>
      <c r="E85" s="3"/>
    </row>
    <row r="86" spans="2:6" x14ac:dyDescent="0.25">
      <c r="B86" t="s">
        <v>57</v>
      </c>
      <c r="D86" s="87">
        <f>3114399964+150000000</f>
        <v>3264399964</v>
      </c>
      <c r="E86" s="3">
        <v>1998368959</v>
      </c>
      <c r="F86" s="21"/>
    </row>
    <row r="87" spans="2:6" x14ac:dyDescent="0.25">
      <c r="D87" s="3"/>
      <c r="E87" s="3"/>
      <c r="F87" s="21"/>
    </row>
    <row r="88" spans="2:6" x14ac:dyDescent="0.25">
      <c r="B88" t="s">
        <v>64</v>
      </c>
      <c r="D88" s="3">
        <v>0</v>
      </c>
      <c r="E88" s="3">
        <v>1979800461</v>
      </c>
      <c r="F88" s="21"/>
    </row>
    <row r="89" spans="2:6" x14ac:dyDescent="0.25">
      <c r="B89" t="s">
        <v>65</v>
      </c>
      <c r="D89" s="3">
        <v>436969</v>
      </c>
      <c r="E89" s="3">
        <v>397670627</v>
      </c>
    </row>
    <row r="90" spans="2:6" x14ac:dyDescent="0.25">
      <c r="B90" s="8" t="s">
        <v>66</v>
      </c>
      <c r="C90" s="9"/>
      <c r="D90" s="10">
        <f>SUM(D86:D89)</f>
        <v>3264836933</v>
      </c>
      <c r="E90" s="10">
        <f>SUM(E86:E89)</f>
        <v>4375840047</v>
      </c>
    </row>
    <row r="91" spans="2:6" x14ac:dyDescent="0.25">
      <c r="B91" s="14" t="s">
        <v>67</v>
      </c>
      <c r="C91" s="15"/>
      <c r="D91" s="17">
        <f>+D90+D84</f>
        <v>6151420622</v>
      </c>
      <c r="E91" s="17">
        <f>+E90+E84</f>
        <v>8202479770</v>
      </c>
    </row>
    <row r="92" spans="2:6" x14ac:dyDescent="0.25">
      <c r="B92" s="1" t="s">
        <v>74</v>
      </c>
      <c r="D92" s="3"/>
      <c r="E92" s="4"/>
    </row>
    <row r="93" spans="2:6" x14ac:dyDescent="0.25">
      <c r="B93" t="s">
        <v>68</v>
      </c>
      <c r="D93" s="3">
        <v>656000000</v>
      </c>
      <c r="E93" s="3">
        <v>550000000</v>
      </c>
    </row>
    <row r="94" spans="2:6" x14ac:dyDescent="0.25">
      <c r="B94" t="s">
        <v>69</v>
      </c>
      <c r="D94" s="3">
        <v>4238531012</v>
      </c>
      <c r="E94" s="3">
        <v>4238531012</v>
      </c>
    </row>
    <row r="95" spans="2:6" x14ac:dyDescent="0.25">
      <c r="B95" t="s">
        <v>70</v>
      </c>
      <c r="D95" s="3">
        <v>267490580</v>
      </c>
      <c r="E95" s="3">
        <v>267490580</v>
      </c>
    </row>
    <row r="96" spans="2:6" x14ac:dyDescent="0.25">
      <c r="B96" t="s">
        <v>71</v>
      </c>
      <c r="D96" s="3">
        <v>1896426562</v>
      </c>
      <c r="E96" s="3">
        <v>1640681971</v>
      </c>
    </row>
    <row r="97" spans="2:6" x14ac:dyDescent="0.25">
      <c r="B97" t="s">
        <v>72</v>
      </c>
      <c r="D97" s="3">
        <f>+D53</f>
        <v>234804724.05000001</v>
      </c>
      <c r="E97" s="3">
        <v>255744591</v>
      </c>
    </row>
    <row r="98" spans="2:6" x14ac:dyDescent="0.25">
      <c r="B98" s="8" t="s">
        <v>73</v>
      </c>
      <c r="C98" s="9"/>
      <c r="D98" s="18">
        <f>SUM(D93:D97)</f>
        <v>7293252878.0500002</v>
      </c>
      <c r="E98" s="18">
        <f>SUM(E93:E97)</f>
        <v>6952448154</v>
      </c>
    </row>
    <row r="99" spans="2:6" x14ac:dyDescent="0.25">
      <c r="B99" s="14" t="s">
        <v>75</v>
      </c>
      <c r="C99" s="15"/>
      <c r="D99" s="19">
        <f>+D98+D91</f>
        <v>13444673500.049999</v>
      </c>
      <c r="E99" s="19">
        <f>+E98+E91</f>
        <v>15154927924</v>
      </c>
      <c r="F99" s="21"/>
    </row>
    <row r="100" spans="2:6" x14ac:dyDescent="0.25">
      <c r="D100" s="21">
        <f>+D76</f>
        <v>13444673500</v>
      </c>
      <c r="F100" s="21"/>
    </row>
    <row r="101" spans="2:6" x14ac:dyDescent="0.25">
      <c r="D101" s="21">
        <f>+D100-D99</f>
        <v>-4.9999237060546875E-2</v>
      </c>
    </row>
  </sheetData>
  <mergeCells count="6">
    <mergeCell ref="B58:E58"/>
    <mergeCell ref="B1:E1"/>
    <mergeCell ref="B2:E2"/>
    <mergeCell ref="B3:E3"/>
    <mergeCell ref="B56:E56"/>
    <mergeCell ref="B57:E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ABAB-FFBA-4E1C-BA9B-9D8C43551A5A}">
  <dimension ref="B2:I97"/>
  <sheetViews>
    <sheetView topLeftCell="A59" workbookViewId="0">
      <selection activeCell="A73" sqref="A73"/>
    </sheetView>
  </sheetViews>
  <sheetFormatPr baseColWidth="10" defaultRowHeight="15" x14ac:dyDescent="0.25"/>
  <cols>
    <col min="3" max="3" width="23.5703125" customWidth="1"/>
    <col min="4" max="4" width="15" customWidth="1"/>
    <col min="5" max="6" width="20.85546875" customWidth="1"/>
    <col min="7" max="7" width="4.28515625" customWidth="1"/>
    <col min="8" max="8" width="24.85546875" customWidth="1"/>
    <col min="9" max="9" width="17.5703125" customWidth="1"/>
  </cols>
  <sheetData>
    <row r="2" spans="2:9" x14ac:dyDescent="0.25">
      <c r="B2" s="67" t="s">
        <v>35</v>
      </c>
      <c r="C2" s="67"/>
      <c r="D2" s="67"/>
      <c r="E2" s="67"/>
      <c r="F2" s="67"/>
      <c r="G2" s="67"/>
      <c r="H2" s="67"/>
    </row>
    <row r="3" spans="2:9" x14ac:dyDescent="0.25">
      <c r="B3" s="67" t="s">
        <v>36</v>
      </c>
      <c r="C3" s="66"/>
      <c r="D3" s="66"/>
      <c r="E3" s="66"/>
      <c r="F3" s="66"/>
      <c r="G3" s="66"/>
      <c r="H3" s="66"/>
    </row>
    <row r="4" spans="2:9" x14ac:dyDescent="0.25">
      <c r="B4" s="66" t="s">
        <v>37</v>
      </c>
      <c r="C4" s="66"/>
      <c r="D4" s="66"/>
      <c r="E4" s="66"/>
      <c r="F4" s="66"/>
      <c r="G4" s="66"/>
      <c r="H4" s="66"/>
    </row>
    <row r="5" spans="2:9" x14ac:dyDescent="0.25">
      <c r="B5" s="2"/>
      <c r="C5" s="2"/>
      <c r="D5" s="2"/>
      <c r="E5" s="2"/>
      <c r="F5" s="2"/>
      <c r="G5" s="2"/>
      <c r="H5" s="2"/>
    </row>
    <row r="6" spans="2:9" x14ac:dyDescent="0.25">
      <c r="B6" s="2"/>
      <c r="C6" s="2"/>
      <c r="D6" s="2"/>
      <c r="E6" s="5">
        <v>2023</v>
      </c>
      <c r="F6" s="20" t="s">
        <v>77</v>
      </c>
      <c r="G6" s="20"/>
      <c r="H6" s="5">
        <v>2022</v>
      </c>
      <c r="I6" s="23" t="s">
        <v>77</v>
      </c>
    </row>
    <row r="7" spans="2:9" x14ac:dyDescent="0.25">
      <c r="B7" s="2"/>
      <c r="C7" s="2"/>
      <c r="D7" s="2"/>
      <c r="E7" s="2"/>
      <c r="F7" s="2"/>
      <c r="G7" s="2"/>
      <c r="H7" s="2"/>
    </row>
    <row r="8" spans="2:9" x14ac:dyDescent="0.25">
      <c r="B8" t="s">
        <v>0</v>
      </c>
      <c r="E8" s="3">
        <v>13129391378</v>
      </c>
      <c r="F8" s="88">
        <f>+E8/$E$8</f>
        <v>1</v>
      </c>
      <c r="G8" s="88"/>
      <c r="H8" s="6">
        <v>20224746173</v>
      </c>
      <c r="I8" s="89">
        <f>+H8/$H$8</f>
        <v>1</v>
      </c>
    </row>
    <row r="9" spans="2:9" x14ac:dyDescent="0.25">
      <c r="B9" t="s">
        <v>1</v>
      </c>
      <c r="E9" s="11">
        <v>1021525896</v>
      </c>
      <c r="F9" s="88">
        <f>+E9/$E$8</f>
        <v>7.7804512531456663E-2</v>
      </c>
      <c r="G9" s="88"/>
      <c r="H9" s="12">
        <v>727750401</v>
      </c>
      <c r="I9" s="89">
        <f t="shared" ref="I9:I52" si="0">+H9/$H$8</f>
        <v>3.5983166106259741E-2</v>
      </c>
    </row>
    <row r="10" spans="2:9" x14ac:dyDescent="0.25">
      <c r="B10" s="1" t="s">
        <v>2</v>
      </c>
      <c r="E10" s="4">
        <f>+E8-E9</f>
        <v>12107865482</v>
      </c>
      <c r="F10" s="88">
        <f>+E10/$E$8</f>
        <v>0.9221954874685433</v>
      </c>
      <c r="G10" s="88"/>
      <c r="H10" s="7">
        <f>H8-H9</f>
        <v>19496995772</v>
      </c>
      <c r="I10" s="89">
        <f t="shared" si="0"/>
        <v>0.96401683389374027</v>
      </c>
    </row>
    <row r="11" spans="2:9" x14ac:dyDescent="0.25">
      <c r="B11" s="1" t="s">
        <v>3</v>
      </c>
      <c r="E11" s="3"/>
      <c r="F11" s="88">
        <f>+E11/$E$8</f>
        <v>0</v>
      </c>
      <c r="G11" s="88"/>
      <c r="H11" s="6"/>
      <c r="I11" s="89">
        <f t="shared" si="0"/>
        <v>0</v>
      </c>
    </row>
    <row r="12" spans="2:9" x14ac:dyDescent="0.25">
      <c r="B12" t="s">
        <v>4</v>
      </c>
      <c r="E12" s="3">
        <v>6968671419</v>
      </c>
      <c r="F12" s="88">
        <f>+E12/$E$8</f>
        <v>0.53076880857378617</v>
      </c>
      <c r="G12" s="88"/>
      <c r="H12" s="6">
        <v>14318042012</v>
      </c>
      <c r="I12" s="89">
        <f t="shared" si="0"/>
        <v>0.70794668519076698</v>
      </c>
    </row>
    <row r="13" spans="2:9" x14ac:dyDescent="0.25">
      <c r="B13" t="s">
        <v>3</v>
      </c>
      <c r="E13" s="3">
        <v>3244017397</v>
      </c>
      <c r="F13" s="88">
        <f>+E13/$E$8</f>
        <v>0.24708056174148121</v>
      </c>
      <c r="G13" s="88"/>
      <c r="H13" s="6">
        <v>2739821393</v>
      </c>
      <c r="I13" s="89">
        <f t="shared" si="0"/>
        <v>0.13546876532164626</v>
      </c>
    </row>
    <row r="14" spans="2:9" x14ac:dyDescent="0.25">
      <c r="B14" s="1" t="s">
        <v>5</v>
      </c>
      <c r="E14" s="4">
        <f>+E12+E13</f>
        <v>10212688816</v>
      </c>
      <c r="F14" s="88">
        <f>+E14/$E$8</f>
        <v>0.77784937031526735</v>
      </c>
      <c r="G14" s="88"/>
      <c r="H14" s="7">
        <f>H12+H13</f>
        <v>17057863405</v>
      </c>
      <c r="I14" s="89">
        <f t="shared" si="0"/>
        <v>0.84341545051241318</v>
      </c>
    </row>
    <row r="15" spans="2:9" x14ac:dyDescent="0.25">
      <c r="B15" s="1" t="s">
        <v>7</v>
      </c>
      <c r="E15" s="4">
        <f>+E10-E14</f>
        <v>1895176666</v>
      </c>
      <c r="F15" s="88">
        <f>+E15/$E$8</f>
        <v>0.14434611715327603</v>
      </c>
      <c r="G15" s="88"/>
      <c r="H15" s="7">
        <f>+H10-H14</f>
        <v>2439132367</v>
      </c>
      <c r="I15" s="89">
        <f t="shared" si="0"/>
        <v>0.12060138338132705</v>
      </c>
    </row>
    <row r="16" spans="2:9" x14ac:dyDescent="0.25">
      <c r="B16" s="1" t="s">
        <v>6</v>
      </c>
      <c r="E16" s="4">
        <f>SUM(E17:E26)</f>
        <v>655229557</v>
      </c>
      <c r="F16" s="88">
        <f>+E16/$E$8</f>
        <v>4.990555450254322E-2</v>
      </c>
      <c r="G16" s="88"/>
      <c r="H16" s="7">
        <f>SUM(H17:H26)</f>
        <v>986824024</v>
      </c>
      <c r="I16" s="89">
        <f t="shared" si="0"/>
        <v>4.8792900319184637E-2</v>
      </c>
    </row>
    <row r="17" spans="2:9" x14ac:dyDescent="0.25">
      <c r="B17" t="s">
        <v>8</v>
      </c>
      <c r="E17" s="3">
        <v>415017492</v>
      </c>
      <c r="F17" s="88">
        <f>+E17/$E$8</f>
        <v>3.160980429720571E-2</v>
      </c>
      <c r="G17" s="88"/>
      <c r="H17" s="6">
        <v>245094841</v>
      </c>
      <c r="I17" s="89">
        <f t="shared" si="0"/>
        <v>1.2118562028096113E-2</v>
      </c>
    </row>
    <row r="18" spans="2:9" x14ac:dyDescent="0.25">
      <c r="B18" t="s">
        <v>9</v>
      </c>
      <c r="E18" s="3">
        <v>83158008</v>
      </c>
      <c r="F18" s="88">
        <f>+E18/$E$8</f>
        <v>6.3337290820153352E-3</v>
      </c>
      <c r="G18" s="88"/>
      <c r="H18" s="6">
        <v>62376618</v>
      </c>
      <c r="I18" s="89">
        <f t="shared" si="0"/>
        <v>3.0841730950014429E-3</v>
      </c>
    </row>
    <row r="19" spans="2:9" x14ac:dyDescent="0.25">
      <c r="B19" t="s">
        <v>10</v>
      </c>
      <c r="E19" s="3">
        <v>4092155</v>
      </c>
      <c r="F19" s="88">
        <f>+E19/$E$8</f>
        <v>3.1167895618200073E-4</v>
      </c>
      <c r="G19" s="88"/>
      <c r="H19" s="6">
        <v>5021493</v>
      </c>
      <c r="I19" s="89">
        <f t="shared" si="0"/>
        <v>2.4828459932435071E-4</v>
      </c>
    </row>
    <row r="20" spans="2:9" x14ac:dyDescent="0.25">
      <c r="B20" t="s">
        <v>11</v>
      </c>
      <c r="E20" s="3">
        <v>0</v>
      </c>
      <c r="F20" s="88">
        <f>+E20/$E$8</f>
        <v>0</v>
      </c>
      <c r="G20" s="88"/>
      <c r="H20" s="6">
        <v>443000</v>
      </c>
      <c r="I20" s="89">
        <f t="shared" si="0"/>
        <v>2.1903859569392481E-5</v>
      </c>
    </row>
    <row r="21" spans="2:9" x14ac:dyDescent="0.25">
      <c r="B21" t="s">
        <v>12</v>
      </c>
      <c r="E21" s="3">
        <v>15536776</v>
      </c>
      <c r="F21" s="88">
        <f>+E21/$E$8</f>
        <v>1.1833584324429452E-3</v>
      </c>
      <c r="G21" s="88"/>
      <c r="H21" s="6">
        <v>2911811</v>
      </c>
      <c r="I21" s="89">
        <f t="shared" si="0"/>
        <v>1.4397268450702549E-4</v>
      </c>
    </row>
    <row r="22" spans="2:9" x14ac:dyDescent="0.25">
      <c r="B22" t="s">
        <v>13</v>
      </c>
      <c r="E22" s="3">
        <v>19085217</v>
      </c>
      <c r="F22" s="88">
        <f>+E22/$E$8</f>
        <v>1.4536254157203174E-3</v>
      </c>
      <c r="G22" s="88"/>
      <c r="H22" s="6">
        <v>22331460</v>
      </c>
      <c r="I22" s="89">
        <f t="shared" si="0"/>
        <v>1.1041651553487706E-3</v>
      </c>
    </row>
    <row r="23" spans="2:9" x14ac:dyDescent="0.25">
      <c r="B23" t="s">
        <v>14</v>
      </c>
      <c r="E23" s="3">
        <v>4261833</v>
      </c>
      <c r="F23" s="88">
        <f>+E23/$E$8</f>
        <v>3.2460247983324302E-4</v>
      </c>
      <c r="G23" s="88"/>
      <c r="H23" s="6">
        <v>14341186</v>
      </c>
      <c r="I23" s="89">
        <f t="shared" si="0"/>
        <v>7.0909102528789495E-4</v>
      </c>
    </row>
    <row r="24" spans="2:9" x14ac:dyDescent="0.25">
      <c r="B24" t="s">
        <v>15</v>
      </c>
      <c r="E24" s="3">
        <v>1191109</v>
      </c>
      <c r="F24" s="88">
        <f>+E24/$E$8</f>
        <v>9.0720808429540595E-5</v>
      </c>
      <c r="G24" s="88"/>
      <c r="H24" s="6">
        <v>4314917</v>
      </c>
      <c r="I24" s="89">
        <f t="shared" si="0"/>
        <v>2.1334838831057402E-4</v>
      </c>
    </row>
    <row r="25" spans="2:9" x14ac:dyDescent="0.25">
      <c r="B25" t="s">
        <v>16</v>
      </c>
      <c r="E25" s="3">
        <v>88873773</v>
      </c>
      <c r="F25" s="88">
        <f>+E25/$E$8</f>
        <v>6.7690702821853223E-3</v>
      </c>
      <c r="G25" s="88"/>
      <c r="H25" s="6">
        <v>622650168</v>
      </c>
      <c r="I25" s="89">
        <f t="shared" si="0"/>
        <v>3.0786550430543194E-2</v>
      </c>
    </row>
    <row r="26" spans="2:9" x14ac:dyDescent="0.25">
      <c r="B26" t="s">
        <v>17</v>
      </c>
      <c r="E26" s="3">
        <v>24013194</v>
      </c>
      <c r="F26" s="88">
        <f>+E26/$E$8</f>
        <v>1.8289647485288027E-3</v>
      </c>
      <c r="G26" s="88"/>
      <c r="H26" s="6">
        <v>7338530</v>
      </c>
      <c r="I26" s="89">
        <f t="shared" si="0"/>
        <v>3.6284905319587766E-4</v>
      </c>
    </row>
    <row r="27" spans="2:9" x14ac:dyDescent="0.25">
      <c r="B27" s="1" t="s">
        <v>18</v>
      </c>
      <c r="E27" s="4">
        <f>+E28+E29+E30+E31+E32+E33+E34+E35+E36</f>
        <v>660523714</v>
      </c>
      <c r="F27" s="88">
        <f>+E27/$E$8</f>
        <v>5.0308783932421518E-2</v>
      </c>
      <c r="G27" s="88"/>
      <c r="H27" s="7">
        <f>SUM(H28:H36)</f>
        <v>600515487</v>
      </c>
      <c r="I27" s="89">
        <f t="shared" si="0"/>
        <v>2.9692114890504145E-2</v>
      </c>
    </row>
    <row r="28" spans="2:9" x14ac:dyDescent="0.25">
      <c r="B28" t="s">
        <v>19</v>
      </c>
      <c r="E28" s="3">
        <v>418638328</v>
      </c>
      <c r="F28" s="88">
        <f>+E28/$E$8</f>
        <v>3.1885585245138084E-2</v>
      </c>
      <c r="G28" s="88"/>
      <c r="H28" s="6">
        <v>414802619</v>
      </c>
      <c r="I28" s="89">
        <f t="shared" si="0"/>
        <v>2.050965759727362E-2</v>
      </c>
    </row>
    <row r="29" spans="2:9" x14ac:dyDescent="0.25">
      <c r="B29" t="s">
        <v>9</v>
      </c>
      <c r="E29" s="3">
        <v>19040000</v>
      </c>
      <c r="F29" s="88">
        <f>+E29/$E$8</f>
        <v>1.4501814632401006E-3</v>
      </c>
      <c r="G29" s="88"/>
      <c r="H29" s="6">
        <v>3752000</v>
      </c>
      <c r="I29" s="89">
        <f t="shared" si="0"/>
        <v>1.855153072333196E-4</v>
      </c>
    </row>
    <row r="30" spans="2:9" x14ac:dyDescent="0.25">
      <c r="B30" t="s">
        <v>10</v>
      </c>
      <c r="E30" s="3">
        <v>56045451</v>
      </c>
      <c r="F30" s="88">
        <f>+E30/$E$8</f>
        <v>4.2687013728535377E-3</v>
      </c>
      <c r="G30" s="88"/>
      <c r="H30" s="6">
        <v>67690293</v>
      </c>
      <c r="I30" s="89">
        <f t="shared" si="0"/>
        <v>3.3469044516546971E-3</v>
      </c>
    </row>
    <row r="31" spans="2:9" x14ac:dyDescent="0.25">
      <c r="B31" t="s">
        <v>12</v>
      </c>
      <c r="E31" s="3">
        <v>11876380</v>
      </c>
      <c r="F31" s="88">
        <f>+E31/$E$8</f>
        <v>9.0456439739471984E-4</v>
      </c>
      <c r="G31" s="88"/>
      <c r="H31" s="6">
        <v>5412920</v>
      </c>
      <c r="I31" s="89">
        <f t="shared" si="0"/>
        <v>2.6763846397371546E-4</v>
      </c>
    </row>
    <row r="32" spans="2:9" x14ac:dyDescent="0.25">
      <c r="B32" t="s">
        <v>13</v>
      </c>
      <c r="E32" s="3">
        <v>77668462</v>
      </c>
      <c r="F32" s="88">
        <f>+E32/$E$8</f>
        <v>5.9156178503554698E-3</v>
      </c>
      <c r="G32" s="88"/>
      <c r="H32" s="6">
        <v>72802276</v>
      </c>
      <c r="I32" s="89">
        <f t="shared" si="0"/>
        <v>3.5996632727678386E-3</v>
      </c>
    </row>
    <row r="33" spans="2:9" x14ac:dyDescent="0.25">
      <c r="B33" t="s">
        <v>20</v>
      </c>
      <c r="E33" s="3">
        <v>870349</v>
      </c>
      <c r="F33" s="88">
        <f>+E33/$E$8</f>
        <v>6.6290125333485199E-5</v>
      </c>
      <c r="G33" s="88"/>
      <c r="H33" s="6">
        <v>1446000</v>
      </c>
      <c r="I33" s="89">
        <f t="shared" si="0"/>
        <v>7.1496570964653562E-5</v>
      </c>
    </row>
    <row r="34" spans="2:9" x14ac:dyDescent="0.25">
      <c r="B34" t="s">
        <v>15</v>
      </c>
      <c r="E34" s="3">
        <v>16112922</v>
      </c>
      <c r="F34" s="88">
        <f>+E34/$E$8</f>
        <v>1.2272405883946222E-3</v>
      </c>
      <c r="G34" s="88"/>
      <c r="H34" s="6">
        <v>11966845</v>
      </c>
      <c r="I34" s="89">
        <f t="shared" si="0"/>
        <v>5.9169321076452943E-4</v>
      </c>
    </row>
    <row r="35" spans="2:9" x14ac:dyDescent="0.25">
      <c r="B35" t="s">
        <v>16</v>
      </c>
      <c r="E35" s="3">
        <v>54625948</v>
      </c>
      <c r="F35" s="88">
        <f>+E35/$E$8</f>
        <v>4.1605849370544984E-3</v>
      </c>
      <c r="G35" s="88"/>
      <c r="H35" s="6">
        <v>0</v>
      </c>
      <c r="I35" s="89">
        <f t="shared" si="0"/>
        <v>0</v>
      </c>
    </row>
    <row r="36" spans="2:9" x14ac:dyDescent="0.25">
      <c r="B36" t="s">
        <v>17</v>
      </c>
      <c r="E36" s="3">
        <v>5645874</v>
      </c>
      <c r="F36" s="88">
        <f>+E36/$E$8</f>
        <v>4.3001795265699787E-4</v>
      </c>
      <c r="G36" s="88"/>
      <c r="H36" s="6">
        <v>22642534</v>
      </c>
      <c r="I36" s="89">
        <f t="shared" si="0"/>
        <v>1.119546015871771E-3</v>
      </c>
    </row>
    <row r="37" spans="2:9" x14ac:dyDescent="0.25">
      <c r="B37" s="1" t="s">
        <v>21</v>
      </c>
      <c r="E37" s="4">
        <v>579423395</v>
      </c>
      <c r="F37" s="88">
        <f>+E37/$E$8</f>
        <v>4.4131778718311282E-2</v>
      </c>
      <c r="G37" s="88"/>
      <c r="H37" s="7">
        <v>851792856</v>
      </c>
      <c r="I37" s="89">
        <f t="shared" si="0"/>
        <v>4.2116368171638267E-2</v>
      </c>
    </row>
    <row r="38" spans="2:9" x14ac:dyDescent="0.25">
      <c r="B38" s="1" t="s">
        <v>22</v>
      </c>
      <c r="E38" s="4">
        <f>SUM(E39:E44)</f>
        <v>352169061</v>
      </c>
      <c r="F38" s="88">
        <f>+E38/$E$8</f>
        <v>2.6822954001516398E-2</v>
      </c>
      <c r="G38" s="88"/>
      <c r="H38" s="7">
        <f>SUM(H39:H44)</f>
        <v>220508657</v>
      </c>
      <c r="I38" s="89">
        <f t="shared" si="0"/>
        <v>1.0902913446418361E-2</v>
      </c>
    </row>
    <row r="39" spans="2:9" x14ac:dyDescent="0.25">
      <c r="B39" t="s">
        <v>23</v>
      </c>
      <c r="E39" s="3">
        <v>69693053</v>
      </c>
      <c r="F39" s="88">
        <f>+E39/$E$8</f>
        <v>5.3081708811559807E-3</v>
      </c>
      <c r="G39" s="88"/>
      <c r="H39" s="6">
        <v>15954457</v>
      </c>
      <c r="I39" s="89">
        <f t="shared" si="0"/>
        <v>7.8885820684855719E-4</v>
      </c>
    </row>
    <row r="40" spans="2:9" x14ac:dyDescent="0.25">
      <c r="B40" t="s">
        <v>24</v>
      </c>
      <c r="E40" s="3">
        <v>1179645</v>
      </c>
      <c r="F40" s="88">
        <f>+E40/$E$8</f>
        <v>8.9847652951883841E-5</v>
      </c>
      <c r="G40" s="88"/>
      <c r="H40" s="6">
        <v>598981</v>
      </c>
      <c r="I40" s="89">
        <f t="shared" si="0"/>
        <v>2.9616243134840354E-5</v>
      </c>
    </row>
    <row r="41" spans="2:9" x14ac:dyDescent="0.25">
      <c r="B41" t="s">
        <v>25</v>
      </c>
      <c r="E41" s="3">
        <v>207923474</v>
      </c>
      <c r="F41" s="88">
        <f>+E41/$E$8</f>
        <v>1.583648990374396E-2</v>
      </c>
      <c r="G41" s="88"/>
      <c r="H41" s="6">
        <v>72912333</v>
      </c>
      <c r="I41" s="89">
        <f t="shared" si="0"/>
        <v>3.6051049727060525E-3</v>
      </c>
    </row>
    <row r="42" spans="2:9" x14ac:dyDescent="0.25">
      <c r="B42" t="s">
        <v>26</v>
      </c>
      <c r="E42" s="3">
        <v>19291116</v>
      </c>
      <c r="F42" s="88">
        <f>+E42/$E$8</f>
        <v>1.4693077115763926E-3</v>
      </c>
      <c r="G42" s="88"/>
      <c r="H42" s="6">
        <v>24363372</v>
      </c>
      <c r="I42" s="89">
        <f t="shared" si="0"/>
        <v>1.2046317808687783E-3</v>
      </c>
    </row>
    <row r="43" spans="2:9" x14ac:dyDescent="0.25">
      <c r="B43" t="s">
        <v>27</v>
      </c>
      <c r="E43" s="3">
        <v>1081773</v>
      </c>
      <c r="F43" s="88">
        <f>+E43/$E$8</f>
        <v>8.2393232774875691E-5</v>
      </c>
      <c r="G43" s="88"/>
      <c r="H43" s="6">
        <v>43679514</v>
      </c>
      <c r="I43" s="89">
        <f t="shared" si="0"/>
        <v>2.1597064124499162E-3</v>
      </c>
    </row>
    <row r="44" spans="2:9" x14ac:dyDescent="0.25">
      <c r="B44" t="s">
        <v>28</v>
      </c>
      <c r="E44" s="3">
        <v>53000000</v>
      </c>
      <c r="F44" s="88">
        <f>+E44/$E$8</f>
        <v>4.0367446193133047E-3</v>
      </c>
      <c r="G44" s="88"/>
      <c r="H44" s="6">
        <v>63000000</v>
      </c>
      <c r="I44" s="89">
        <f t="shared" si="0"/>
        <v>3.1149958304102173E-3</v>
      </c>
    </row>
    <row r="45" spans="2:9" x14ac:dyDescent="0.25">
      <c r="B45" s="1" t="s">
        <v>29</v>
      </c>
      <c r="E45" s="4">
        <f>E46+E47+E48+E49</f>
        <v>707838053</v>
      </c>
      <c r="F45" s="88">
        <f>+E45/$E$8</f>
        <v>5.3912480222508607E-2</v>
      </c>
      <c r="G45" s="88"/>
      <c r="H45" s="7">
        <f>SUM(H46:H49)</f>
        <v>653860511</v>
      </c>
      <c r="I45" s="89">
        <f t="shared" si="0"/>
        <v>3.2329726435474507E-2</v>
      </c>
    </row>
    <row r="46" spans="2:9" x14ac:dyDescent="0.25">
      <c r="B46" t="s">
        <v>30</v>
      </c>
      <c r="E46" s="3">
        <v>532608317</v>
      </c>
      <c r="F46" s="88">
        <f>+E46/$E$8</f>
        <v>4.0566108638703115E-2</v>
      </c>
      <c r="G46" s="88"/>
      <c r="H46" s="6">
        <v>482310386</v>
      </c>
      <c r="I46" s="89">
        <f t="shared" si="0"/>
        <v>2.3847537164341945E-2</v>
      </c>
    </row>
    <row r="47" spans="2:9" x14ac:dyDescent="0.25">
      <c r="B47" t="s">
        <v>31</v>
      </c>
      <c r="E47" s="3">
        <v>59516403</v>
      </c>
      <c r="F47" s="88">
        <f>+E47/$E$8</f>
        <v>4.5330664070024956E-3</v>
      </c>
      <c r="G47" s="88"/>
      <c r="H47" s="6">
        <v>82041710</v>
      </c>
      <c r="I47" s="89">
        <f t="shared" si="0"/>
        <v>4.0565013423765747E-3</v>
      </c>
    </row>
    <row r="48" spans="2:9" x14ac:dyDescent="0.25">
      <c r="B48" t="s">
        <v>38</v>
      </c>
      <c r="E48" s="3">
        <v>1200407</v>
      </c>
      <c r="F48" s="88">
        <f>+E48/$E$8</f>
        <v>9.1428990532755217E-5</v>
      </c>
      <c r="G48" s="88"/>
      <c r="H48" s="6">
        <v>77478040</v>
      </c>
      <c r="I48" s="89">
        <f t="shared" si="0"/>
        <v>3.8308535166405719E-3</v>
      </c>
    </row>
    <row r="49" spans="2:9" x14ac:dyDescent="0.25">
      <c r="B49" t="s">
        <v>17</v>
      </c>
      <c r="E49" s="3">
        <v>114512926</v>
      </c>
      <c r="F49" s="88">
        <f>+E49/$E$8</f>
        <v>8.7218761862702388E-3</v>
      </c>
      <c r="G49" s="88"/>
      <c r="H49" s="6">
        <v>12030375</v>
      </c>
      <c r="I49" s="89">
        <f t="shared" si="0"/>
        <v>5.9483441211541778E-4</v>
      </c>
    </row>
    <row r="50" spans="2:9" x14ac:dyDescent="0.25">
      <c r="B50" s="1" t="s">
        <v>32</v>
      </c>
      <c r="E50" s="4">
        <v>223754403</v>
      </c>
      <c r="F50" s="88">
        <f>+E50/$E$8</f>
        <v>1.7042252497319072E-2</v>
      </c>
      <c r="G50" s="88"/>
      <c r="H50" s="7">
        <v>418441002</v>
      </c>
      <c r="I50" s="89">
        <f t="shared" si="0"/>
        <v>2.0689555182582118E-2</v>
      </c>
    </row>
    <row r="51" spans="2:9" x14ac:dyDescent="0.25">
      <c r="B51" t="s">
        <v>33</v>
      </c>
      <c r="E51" s="3">
        <v>78314041</v>
      </c>
      <c r="F51" s="88">
        <f>+E51/$E$8</f>
        <v>5.9647883702534255E-3</v>
      </c>
      <c r="G51" s="88"/>
      <c r="H51" s="6">
        <v>162696411</v>
      </c>
      <c r="I51" s="89">
        <f t="shared" si="0"/>
        <v>8.0444228871064602E-3</v>
      </c>
    </row>
    <row r="52" spans="2:9" x14ac:dyDescent="0.25">
      <c r="B52" s="1" t="s">
        <v>34</v>
      </c>
      <c r="E52" s="4">
        <v>145440362</v>
      </c>
      <c r="F52" s="88">
        <f>+E52/$E$8</f>
        <v>1.1077464127065647E-2</v>
      </c>
      <c r="G52" s="88"/>
      <c r="H52" s="7">
        <v>255744591</v>
      </c>
      <c r="I52" s="89">
        <f t="shared" si="0"/>
        <v>1.2645132295475658E-2</v>
      </c>
    </row>
    <row r="55" spans="2:9" x14ac:dyDescent="0.25">
      <c r="B55" s="67" t="s">
        <v>39</v>
      </c>
      <c r="C55" s="67"/>
      <c r="D55" s="67"/>
      <c r="E55" s="67"/>
      <c r="F55" s="67"/>
      <c r="G55" s="67"/>
      <c r="H55" s="67"/>
    </row>
    <row r="56" spans="2:9" x14ac:dyDescent="0.25">
      <c r="B56" s="67" t="s">
        <v>36</v>
      </c>
      <c r="C56" s="67"/>
      <c r="D56" s="67"/>
      <c r="E56" s="67"/>
      <c r="F56" s="67"/>
      <c r="G56" s="67"/>
      <c r="H56" s="67"/>
    </row>
    <row r="57" spans="2:9" x14ac:dyDescent="0.25">
      <c r="B57" s="66" t="s">
        <v>37</v>
      </c>
      <c r="C57" s="66"/>
      <c r="D57" s="66"/>
      <c r="E57" s="66"/>
      <c r="F57" s="66"/>
      <c r="G57" s="66"/>
      <c r="H57" s="66"/>
    </row>
    <row r="60" spans="2:9" x14ac:dyDescent="0.25">
      <c r="B60" s="1" t="s">
        <v>40</v>
      </c>
      <c r="F60" s="1" t="s">
        <v>76</v>
      </c>
      <c r="G60" s="1"/>
      <c r="I60" s="1" t="s">
        <v>76</v>
      </c>
    </row>
    <row r="61" spans="2:9" x14ac:dyDescent="0.25">
      <c r="B61" s="1" t="s">
        <v>41</v>
      </c>
    </row>
    <row r="62" spans="2:9" x14ac:dyDescent="0.25">
      <c r="B62" t="s">
        <v>42</v>
      </c>
      <c r="E62" s="3">
        <v>353386148</v>
      </c>
      <c r="F62" s="90">
        <f>+E62/$E$75</f>
        <v>2.5215439232316044E-2</v>
      </c>
      <c r="G62" s="90"/>
      <c r="H62" s="3">
        <v>100928394</v>
      </c>
      <c r="I62" s="92">
        <f>+H62/$H$75</f>
        <v>6.6597739366457444E-3</v>
      </c>
    </row>
    <row r="63" spans="2:9" x14ac:dyDescent="0.25">
      <c r="B63" t="s">
        <v>43</v>
      </c>
      <c r="E63" s="3">
        <v>440207</v>
      </c>
      <c r="F63" s="90">
        <f>+E63/$E$75</f>
        <v>3.1410435640901661E-5</v>
      </c>
      <c r="G63" s="90"/>
      <c r="H63" s="3">
        <v>2350493</v>
      </c>
      <c r="I63" s="92">
        <f t="shared" ref="I63:I75" si="1">+H63/$H$75</f>
        <v>1.5509760335300952E-4</v>
      </c>
    </row>
    <row r="64" spans="2:9" x14ac:dyDescent="0.25">
      <c r="B64" t="s">
        <v>44</v>
      </c>
      <c r="E64" s="3">
        <v>1113227848</v>
      </c>
      <c r="F64" s="90">
        <f>+E64/$E$75</f>
        <v>7.9433020540935179E-2</v>
      </c>
      <c r="G64" s="90"/>
      <c r="H64" s="3">
        <v>2377481741</v>
      </c>
      <c r="I64" s="92">
        <f t="shared" si="1"/>
        <v>0.15687845913373941</v>
      </c>
    </row>
    <row r="65" spans="2:9" x14ac:dyDescent="0.25">
      <c r="B65" t="s">
        <v>45</v>
      </c>
      <c r="E65" s="3">
        <v>236987486</v>
      </c>
      <c r="F65" s="90">
        <f>+E65/$E$75</f>
        <v>1.6909954127721921E-2</v>
      </c>
      <c r="G65" s="90"/>
      <c r="H65" s="3">
        <v>257207644</v>
      </c>
      <c r="I65" s="92">
        <f t="shared" si="1"/>
        <v>1.6971881706720284E-2</v>
      </c>
    </row>
    <row r="66" spans="2:9" x14ac:dyDescent="0.25">
      <c r="B66" t="s">
        <v>46</v>
      </c>
      <c r="E66" s="3">
        <v>3090849077</v>
      </c>
      <c r="F66" s="90">
        <f>+E66/$E$75</f>
        <v>0.22054378055971122</v>
      </c>
      <c r="G66" s="90"/>
      <c r="H66" s="3">
        <v>2203677622</v>
      </c>
      <c r="I66" s="92">
        <f t="shared" si="1"/>
        <v>0.14540997047634655</v>
      </c>
    </row>
    <row r="67" spans="2:9" x14ac:dyDescent="0.25">
      <c r="B67" t="s">
        <v>47</v>
      </c>
      <c r="E67" s="3">
        <v>13318073</v>
      </c>
      <c r="F67" s="90">
        <f>+E67/$E$75</f>
        <v>9.5029491768038694E-4</v>
      </c>
      <c r="G67" s="90"/>
      <c r="H67" s="3">
        <v>5246699</v>
      </c>
      <c r="I67" s="92">
        <f t="shared" si="1"/>
        <v>3.462041539432926E-4</v>
      </c>
    </row>
    <row r="68" spans="2:9" x14ac:dyDescent="0.25">
      <c r="B68" s="8" t="s">
        <v>48</v>
      </c>
      <c r="C68" s="9"/>
      <c r="D68" s="9"/>
      <c r="E68" s="10">
        <f>SUM(E62:E67)</f>
        <v>4808208839</v>
      </c>
      <c r="F68" s="90">
        <f>+E68/$E$75</f>
        <v>0.34308389981400567</v>
      </c>
      <c r="G68" s="90"/>
      <c r="H68" s="10">
        <f>SUM(H62:H67)</f>
        <v>4946892593</v>
      </c>
      <c r="I68" s="92">
        <f t="shared" si="1"/>
        <v>0.3264213870107483</v>
      </c>
    </row>
    <row r="69" spans="2:9" x14ac:dyDescent="0.25">
      <c r="B69" s="1" t="s">
        <v>49</v>
      </c>
      <c r="E69" s="3"/>
      <c r="F69" s="90">
        <f>+E69/$E$75</f>
        <v>0</v>
      </c>
      <c r="G69" s="90"/>
      <c r="H69" s="3"/>
      <c r="I69" s="92">
        <f t="shared" si="1"/>
        <v>0</v>
      </c>
    </row>
    <row r="70" spans="2:9" x14ac:dyDescent="0.25">
      <c r="B70" t="s">
        <v>50</v>
      </c>
      <c r="E70" s="3">
        <v>0</v>
      </c>
      <c r="F70" s="90">
        <f>+E70/$E$75</f>
        <v>0</v>
      </c>
      <c r="G70" s="90"/>
      <c r="H70" s="3">
        <v>20371988</v>
      </c>
      <c r="I70" s="92">
        <f t="shared" si="1"/>
        <v>1.344248425473409E-3</v>
      </c>
    </row>
    <row r="71" spans="2:9" x14ac:dyDescent="0.25">
      <c r="B71" t="s">
        <v>51</v>
      </c>
      <c r="E71" s="3">
        <v>12362211201</v>
      </c>
      <c r="F71" s="90">
        <f>+E71/$E$75</f>
        <v>0.88209056036874489</v>
      </c>
      <c r="G71" s="90"/>
      <c r="H71" s="3">
        <v>12350743865</v>
      </c>
      <c r="I71" s="92">
        <f t="shared" si="1"/>
        <v>0.81496552982220571</v>
      </c>
    </row>
    <row r="72" spans="2:9" x14ac:dyDescent="0.25">
      <c r="B72" t="s">
        <v>52</v>
      </c>
      <c r="E72" s="3">
        <v>1285459000</v>
      </c>
      <c r="F72" s="90">
        <f>+E72/$E$75</f>
        <v>9.1722365133943357E-2</v>
      </c>
      <c r="G72" s="90"/>
      <c r="H72" s="3">
        <v>1285459000</v>
      </c>
      <c r="I72" s="92">
        <f t="shared" si="1"/>
        <v>8.4821188622368274E-2</v>
      </c>
    </row>
    <row r="73" spans="2:9" x14ac:dyDescent="0.25">
      <c r="B73" t="s">
        <v>16</v>
      </c>
      <c r="E73" s="11">
        <v>4441205540</v>
      </c>
      <c r="F73" s="90">
        <f>+E73/$E$75</f>
        <v>0.31689682531669394</v>
      </c>
      <c r="G73" s="90"/>
      <c r="H73" s="11">
        <v>3448539522</v>
      </c>
      <c r="I73" s="92">
        <f t="shared" si="1"/>
        <v>0.22755235388079567</v>
      </c>
    </row>
    <row r="74" spans="2:9" x14ac:dyDescent="0.25">
      <c r="B74" s="8" t="s">
        <v>53</v>
      </c>
      <c r="C74" s="9"/>
      <c r="D74" s="9"/>
      <c r="E74" s="13">
        <f>+E71+E72-E73</f>
        <v>9206464661</v>
      </c>
      <c r="F74" s="90">
        <f>+E74/$E$75</f>
        <v>0.65691610018599433</v>
      </c>
      <c r="G74" s="90"/>
      <c r="H74" s="13">
        <f>+H70+H71+H72-H73</f>
        <v>10208035331</v>
      </c>
      <c r="I74" s="92">
        <f t="shared" si="1"/>
        <v>0.6735786129892517</v>
      </c>
    </row>
    <row r="75" spans="2:9" x14ac:dyDescent="0.25">
      <c r="B75" s="14" t="s">
        <v>54</v>
      </c>
      <c r="C75" s="15"/>
      <c r="D75" s="15"/>
      <c r="E75" s="16">
        <f>+E74+E68</f>
        <v>14014673500</v>
      </c>
      <c r="F75" s="90">
        <f>+E75/$E$75</f>
        <v>1</v>
      </c>
      <c r="G75" s="90"/>
      <c r="H75" s="16">
        <f>+H74+H68</f>
        <v>15154927924</v>
      </c>
      <c r="I75" s="92">
        <f t="shared" si="1"/>
        <v>1</v>
      </c>
    </row>
    <row r="76" spans="2:9" x14ac:dyDescent="0.25">
      <c r="B76" s="1" t="s">
        <v>55</v>
      </c>
      <c r="E76" s="3"/>
      <c r="F76" s="90"/>
      <c r="G76" s="90"/>
      <c r="H76" s="3"/>
      <c r="I76" s="89"/>
    </row>
    <row r="77" spans="2:9" x14ac:dyDescent="0.25">
      <c r="B77" s="1" t="s">
        <v>56</v>
      </c>
      <c r="E77" s="3"/>
      <c r="F77" s="90"/>
      <c r="G77" s="90"/>
      <c r="H77" s="3"/>
      <c r="I77" s="89"/>
    </row>
    <row r="78" spans="2:9" x14ac:dyDescent="0.25">
      <c r="B78" t="s">
        <v>57</v>
      </c>
      <c r="E78" s="3">
        <v>240014466</v>
      </c>
      <c r="F78" s="90">
        <f>+E78/$E$89</f>
        <v>3.5240352846822448E-2</v>
      </c>
      <c r="G78" s="90"/>
      <c r="H78" s="3">
        <v>175680539</v>
      </c>
      <c r="I78" s="89">
        <f>+H78/$H$89</f>
        <v>2.1417978943701801E-2</v>
      </c>
    </row>
    <row r="79" spans="2:9" x14ac:dyDescent="0.25">
      <c r="B79" t="s">
        <v>58</v>
      </c>
      <c r="E79" s="3">
        <v>2945168359</v>
      </c>
      <c r="F79" s="90">
        <f>+E79/$E$89</f>
        <v>0.43242715280526905</v>
      </c>
      <c r="G79" s="90"/>
      <c r="H79" s="3">
        <v>2969700691</v>
      </c>
      <c r="I79" s="89">
        <f t="shared" ref="I79:I89" si="2">+H79/$H$89</f>
        <v>0.36204913322206217</v>
      </c>
    </row>
    <row r="80" spans="2:9" x14ac:dyDescent="0.25">
      <c r="B80" t="s">
        <v>59</v>
      </c>
      <c r="E80" s="3">
        <v>182633328</v>
      </c>
      <c r="F80" s="90">
        <f>+E80/$E$89</f>
        <v>2.6815312541659295E-2</v>
      </c>
      <c r="G80" s="90"/>
      <c r="H80" s="3">
        <v>266419647</v>
      </c>
      <c r="I80" s="89">
        <f t="shared" si="2"/>
        <v>3.2480378430729123E-2</v>
      </c>
    </row>
    <row r="81" spans="2:9" x14ac:dyDescent="0.25">
      <c r="B81" t="s">
        <v>60</v>
      </c>
      <c r="E81" s="3">
        <v>135331026</v>
      </c>
      <c r="F81" s="90">
        <f>+E81/$E$89</f>
        <v>1.9870106943314422E-2</v>
      </c>
      <c r="G81" s="90"/>
      <c r="H81" s="3">
        <v>199830652</v>
      </c>
      <c r="I81" s="89">
        <f t="shared" si="2"/>
        <v>2.436222430329749E-2</v>
      </c>
    </row>
    <row r="82" spans="2:9" x14ac:dyDescent="0.25">
      <c r="B82" t="s">
        <v>61</v>
      </c>
      <c r="E82" s="3">
        <v>192800872</v>
      </c>
      <c r="F82" s="90">
        <f>+E82/$E$89</f>
        <v>2.8308171885169001E-2</v>
      </c>
      <c r="G82" s="90"/>
      <c r="H82" s="3">
        <v>215008194</v>
      </c>
      <c r="I82" s="89">
        <f t="shared" si="2"/>
        <v>2.6212584490165711E-2</v>
      </c>
    </row>
    <row r="83" spans="2:9" x14ac:dyDescent="0.25">
      <c r="B83" s="8" t="s">
        <v>62</v>
      </c>
      <c r="C83" s="9"/>
      <c r="D83" s="9"/>
      <c r="E83" s="10">
        <f>SUM(E78:E82)</f>
        <v>3695948051</v>
      </c>
      <c r="F83" s="90">
        <f>+E83/$E$89</f>
        <v>0.5426610970222342</v>
      </c>
      <c r="G83" s="90"/>
      <c r="H83" s="10">
        <f>SUM(H78:H82)</f>
        <v>3826639723</v>
      </c>
      <c r="I83" s="89">
        <f t="shared" si="2"/>
        <v>0.46652229938995632</v>
      </c>
    </row>
    <row r="84" spans="2:9" x14ac:dyDescent="0.25">
      <c r="B84" s="1" t="s">
        <v>63</v>
      </c>
      <c r="E84" s="3"/>
      <c r="F84" s="90">
        <f>+E84/$E$89</f>
        <v>0</v>
      </c>
      <c r="G84" s="90"/>
      <c r="H84" s="3"/>
      <c r="I84" s="89">
        <f t="shared" si="2"/>
        <v>0</v>
      </c>
    </row>
    <row r="85" spans="2:9" x14ac:dyDescent="0.25">
      <c r="B85" t="s">
        <v>57</v>
      </c>
      <c r="E85" s="3">
        <v>3114399964</v>
      </c>
      <c r="F85" s="90">
        <f>+E85/$E$89</f>
        <v>0.45727474458764972</v>
      </c>
      <c r="G85" s="90"/>
      <c r="H85" s="3">
        <v>1998368959</v>
      </c>
      <c r="I85" s="89">
        <f t="shared" si="2"/>
        <v>0.24362985524315411</v>
      </c>
    </row>
    <row r="86" spans="2:9" x14ac:dyDescent="0.25">
      <c r="B86" t="s">
        <v>64</v>
      </c>
      <c r="E86" s="3">
        <v>0</v>
      </c>
      <c r="F86" s="90">
        <f>+E86/$E$89</f>
        <v>0</v>
      </c>
      <c r="G86" s="90"/>
      <c r="H86" s="3">
        <v>1979800461</v>
      </c>
      <c r="I86" s="89">
        <f t="shared" si="2"/>
        <v>0.24136608885534624</v>
      </c>
    </row>
    <row r="87" spans="2:9" x14ac:dyDescent="0.25">
      <c r="B87" t="s">
        <v>65</v>
      </c>
      <c r="E87" s="3">
        <v>436969</v>
      </c>
      <c r="F87" s="90">
        <f>+E87/$E$89</f>
        <v>6.4158390116048926E-5</v>
      </c>
      <c r="G87" s="90"/>
      <c r="H87" s="3">
        <v>397670627</v>
      </c>
      <c r="I87" s="89">
        <f t="shared" si="2"/>
        <v>4.8481756511543336E-2</v>
      </c>
    </row>
    <row r="88" spans="2:9" x14ac:dyDescent="0.25">
      <c r="B88" s="8" t="s">
        <v>66</v>
      </c>
      <c r="C88" s="9"/>
      <c r="D88" s="9"/>
      <c r="E88" s="10">
        <f>SUM(E85:E87)</f>
        <v>3114836933</v>
      </c>
      <c r="F88" s="90">
        <f>+E88/$E$89</f>
        <v>0.45733890297776575</v>
      </c>
      <c r="G88" s="90"/>
      <c r="H88" s="10">
        <f>SUM(H85:H87)</f>
        <v>4375840047</v>
      </c>
      <c r="I88" s="89">
        <f t="shared" si="2"/>
        <v>0.53347770061004374</v>
      </c>
    </row>
    <row r="89" spans="2:9" x14ac:dyDescent="0.25">
      <c r="B89" s="14" t="s">
        <v>67</v>
      </c>
      <c r="C89" s="15"/>
      <c r="D89" s="15"/>
      <c r="E89" s="16">
        <f>+E88+E83</f>
        <v>6810784984</v>
      </c>
      <c r="F89" s="90">
        <f>+E89/$E$89</f>
        <v>1</v>
      </c>
      <c r="G89" s="90"/>
      <c r="H89" s="17">
        <f>+H88+H83</f>
        <v>8202479770</v>
      </c>
      <c r="I89" s="89">
        <f t="shared" si="2"/>
        <v>1</v>
      </c>
    </row>
    <row r="90" spans="2:9" x14ac:dyDescent="0.25">
      <c r="B90" s="1" t="s">
        <v>74</v>
      </c>
      <c r="E90" s="3"/>
      <c r="F90" s="90"/>
      <c r="G90" s="90"/>
      <c r="H90" s="4"/>
      <c r="I90" s="89"/>
    </row>
    <row r="91" spans="2:9" x14ac:dyDescent="0.25">
      <c r="B91" t="s">
        <v>68</v>
      </c>
      <c r="E91" s="3">
        <v>656000000</v>
      </c>
      <c r="F91" s="90">
        <f>+E91/$E$96</f>
        <v>9.1061931142189259E-2</v>
      </c>
      <c r="G91" s="90"/>
      <c r="H91" s="3">
        <v>550000000</v>
      </c>
      <c r="I91" s="89">
        <f>+H91/$H$96</f>
        <v>7.9108824376283152E-2</v>
      </c>
    </row>
    <row r="92" spans="2:9" x14ac:dyDescent="0.25">
      <c r="B92" t="s">
        <v>69</v>
      </c>
      <c r="E92" s="3">
        <v>4238531012</v>
      </c>
      <c r="F92" s="90">
        <f>+E92/$E$96</f>
        <v>0.58836710237618561</v>
      </c>
      <c r="G92" s="90"/>
      <c r="H92" s="3">
        <v>4238531012</v>
      </c>
      <c r="I92" s="89">
        <f t="shared" ref="I92:I96" si="3">+H92/$H$96</f>
        <v>0.60964582807588674</v>
      </c>
    </row>
    <row r="93" spans="2:9" x14ac:dyDescent="0.25">
      <c r="B93" t="s">
        <v>70</v>
      </c>
      <c r="E93" s="3">
        <v>267490580</v>
      </c>
      <c r="F93" s="90">
        <f>+E93/$E$96</f>
        <v>3.713141581881748E-2</v>
      </c>
      <c r="G93" s="90"/>
      <c r="H93" s="3">
        <v>267490580</v>
      </c>
      <c r="I93" s="89">
        <f t="shared" si="3"/>
        <v>3.8474300573691125E-2</v>
      </c>
    </row>
    <row r="94" spans="2:9" x14ac:dyDescent="0.25">
      <c r="B94" t="s">
        <v>71</v>
      </c>
      <c r="E94" s="3">
        <v>1896426562</v>
      </c>
      <c r="F94" s="90">
        <f>+E94/$E$96</f>
        <v>0.2632504039711322</v>
      </c>
      <c r="G94" s="90"/>
      <c r="H94" s="3">
        <v>1640681971</v>
      </c>
      <c r="I94" s="89">
        <f t="shared" si="3"/>
        <v>0.23598622163849653</v>
      </c>
    </row>
    <row r="95" spans="2:9" x14ac:dyDescent="0.25">
      <c r="B95" t="s">
        <v>72</v>
      </c>
      <c r="E95" s="3">
        <v>145440362</v>
      </c>
      <c r="F95" s="90">
        <f>+E95/$E$96</f>
        <v>2.0189146691675427E-2</v>
      </c>
      <c r="G95" s="90"/>
      <c r="H95" s="3">
        <v>255744591</v>
      </c>
      <c r="I95" s="89">
        <f t="shared" si="3"/>
        <v>3.6784825335642479E-2</v>
      </c>
    </row>
    <row r="96" spans="2:9" x14ac:dyDescent="0.25">
      <c r="B96" s="8" t="s">
        <v>73</v>
      </c>
      <c r="C96" s="9"/>
      <c r="D96" s="9"/>
      <c r="E96" s="18">
        <f>SUM(E91:E95)</f>
        <v>7203888516</v>
      </c>
      <c r="F96" s="90">
        <f>+E96/$E$96</f>
        <v>1</v>
      </c>
      <c r="G96" s="90"/>
      <c r="H96" s="18">
        <f>SUM(H91:H95)</f>
        <v>6952448154</v>
      </c>
      <c r="I96" s="89">
        <f t="shared" si="3"/>
        <v>1</v>
      </c>
    </row>
    <row r="97" spans="2:9" x14ac:dyDescent="0.25">
      <c r="B97" s="14" t="s">
        <v>75</v>
      </c>
      <c r="C97" s="15"/>
      <c r="D97" s="15"/>
      <c r="E97" s="19">
        <f>+E96+E89</f>
        <v>14014673500</v>
      </c>
      <c r="F97" s="25"/>
      <c r="G97" s="25"/>
      <c r="H97" s="19">
        <f>+H96+H89</f>
        <v>15154927924</v>
      </c>
      <c r="I97" s="89"/>
    </row>
  </sheetData>
  <mergeCells count="6">
    <mergeCell ref="B57:H57"/>
    <mergeCell ref="B2:H2"/>
    <mergeCell ref="B3:H3"/>
    <mergeCell ref="B4:H4"/>
    <mergeCell ref="B55:H55"/>
    <mergeCell ref="B56:H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7A66-E515-4EB9-A363-18A628273ECA}">
  <dimension ref="B1:L95"/>
  <sheetViews>
    <sheetView topLeftCell="A59" workbookViewId="0">
      <selection activeCell="J67" sqref="J67"/>
    </sheetView>
  </sheetViews>
  <sheetFormatPr baseColWidth="10" defaultRowHeight="15" x14ac:dyDescent="0.25"/>
  <cols>
    <col min="5" max="5" width="23.140625" customWidth="1"/>
    <col min="6" max="6" width="4.140625" customWidth="1"/>
    <col min="7" max="7" width="22.28515625" customWidth="1"/>
    <col min="8" max="8" width="3.140625" customWidth="1"/>
    <col min="9" max="9" width="24.140625" customWidth="1"/>
    <col min="10" max="10" width="17.85546875" customWidth="1"/>
    <col min="11" max="11" width="13.5703125" bestFit="1" customWidth="1"/>
  </cols>
  <sheetData>
    <row r="1" spans="2:12" x14ac:dyDescent="0.25">
      <c r="C1" s="67" t="s">
        <v>35</v>
      </c>
      <c r="D1" s="67"/>
      <c r="E1" s="67"/>
      <c r="F1" s="67"/>
      <c r="G1" s="67"/>
      <c r="H1" s="67"/>
      <c r="I1" s="67"/>
    </row>
    <row r="2" spans="2:12" x14ac:dyDescent="0.25">
      <c r="C2" s="67" t="s">
        <v>36</v>
      </c>
      <c r="D2" s="66"/>
      <c r="E2" s="66"/>
      <c r="F2" s="66"/>
      <c r="G2" s="66"/>
      <c r="H2" s="66"/>
      <c r="I2" s="66"/>
    </row>
    <row r="3" spans="2:12" x14ac:dyDescent="0.25">
      <c r="C3" s="66" t="s">
        <v>37</v>
      </c>
      <c r="D3" s="66"/>
      <c r="E3" s="66"/>
      <c r="F3" s="66"/>
      <c r="G3" s="66"/>
      <c r="H3" s="66"/>
      <c r="I3" s="66"/>
    </row>
    <row r="4" spans="2:12" x14ac:dyDescent="0.25">
      <c r="C4" s="2"/>
      <c r="D4" s="2"/>
      <c r="E4" s="2"/>
      <c r="F4" s="2"/>
      <c r="G4" s="2"/>
      <c r="H4" s="2"/>
      <c r="I4" s="2"/>
    </row>
    <row r="5" spans="2:12" x14ac:dyDescent="0.25">
      <c r="B5" s="2"/>
      <c r="C5" s="2"/>
      <c r="D5" s="2"/>
      <c r="E5" s="5">
        <v>2023</v>
      </c>
      <c r="G5" s="5">
        <v>2022</v>
      </c>
      <c r="I5" s="67" t="s">
        <v>80</v>
      </c>
      <c r="J5" s="67"/>
    </row>
    <row r="6" spans="2:12" x14ac:dyDescent="0.25">
      <c r="B6" s="2"/>
      <c r="C6" s="2"/>
      <c r="D6" s="2"/>
      <c r="E6" s="2"/>
      <c r="G6" s="2"/>
      <c r="I6" s="1" t="s">
        <v>78</v>
      </c>
      <c r="J6" s="1" t="s">
        <v>79</v>
      </c>
    </row>
    <row r="7" spans="2:12" x14ac:dyDescent="0.25">
      <c r="B7" t="s">
        <v>0</v>
      </c>
      <c r="E7" s="3">
        <v>13129391378</v>
      </c>
      <c r="G7" s="6">
        <v>20224746173</v>
      </c>
      <c r="I7" s="21">
        <f>+E7-G7</f>
        <v>-7095354795</v>
      </c>
      <c r="J7" s="22">
        <f>+I7/G7</f>
        <v>-0.35082540637628795</v>
      </c>
      <c r="L7" s="22">
        <f>+E7/G7</f>
        <v>0.64917459362371199</v>
      </c>
    </row>
    <row r="8" spans="2:12" x14ac:dyDescent="0.25">
      <c r="B8" t="s">
        <v>1</v>
      </c>
      <c r="E8" s="11">
        <v>1021525896</v>
      </c>
      <c r="G8" s="12">
        <v>727750401</v>
      </c>
      <c r="I8" s="21">
        <f>+E8-G8</f>
        <v>293775495</v>
      </c>
      <c r="J8" s="22">
        <f t="shared" ref="J8:J51" si="0">+I8/G8</f>
        <v>0.40367617056112071</v>
      </c>
    </row>
    <row r="9" spans="2:12" x14ac:dyDescent="0.25">
      <c r="B9" s="1" t="s">
        <v>2</v>
      </c>
      <c r="E9" s="4">
        <f>+E7-E8</f>
        <v>12107865482</v>
      </c>
      <c r="G9" s="7">
        <f>G7-G8</f>
        <v>19496995772</v>
      </c>
      <c r="I9" s="21">
        <f t="shared" ref="I9:I51" si="1">+E9-G9</f>
        <v>-7389130290</v>
      </c>
      <c r="J9" s="22">
        <f t="shared" si="0"/>
        <v>-0.37898814650263546</v>
      </c>
    </row>
    <row r="10" spans="2:12" x14ac:dyDescent="0.25">
      <c r="B10" s="1" t="s">
        <v>3</v>
      </c>
      <c r="E10" s="3"/>
      <c r="G10" s="6"/>
      <c r="I10" s="21"/>
      <c r="J10" s="22"/>
    </row>
    <row r="11" spans="2:12" x14ac:dyDescent="0.25">
      <c r="B11" t="s">
        <v>4</v>
      </c>
      <c r="E11" s="3">
        <v>6968671419</v>
      </c>
      <c r="G11" s="6">
        <v>14318042012</v>
      </c>
      <c r="I11" s="21">
        <f t="shared" si="1"/>
        <v>-7349370593</v>
      </c>
      <c r="J11" s="22">
        <f t="shared" si="0"/>
        <v>-0.51329438667944038</v>
      </c>
    </row>
    <row r="12" spans="2:12" x14ac:dyDescent="0.25">
      <c r="B12" t="s">
        <v>3</v>
      </c>
      <c r="E12" s="3">
        <v>3244017397</v>
      </c>
      <c r="G12" s="6">
        <v>2739821393</v>
      </c>
      <c r="I12" s="21">
        <f t="shared" si="1"/>
        <v>504196004</v>
      </c>
      <c r="J12" s="22">
        <f t="shared" si="0"/>
        <v>0.1840251358311808</v>
      </c>
    </row>
    <row r="13" spans="2:12" x14ac:dyDescent="0.25">
      <c r="B13" s="1" t="s">
        <v>5</v>
      </c>
      <c r="E13" s="4">
        <f>+E11+E12</f>
        <v>10212688816</v>
      </c>
      <c r="G13" s="7">
        <f>G11+G12</f>
        <v>17057863405</v>
      </c>
      <c r="I13" s="21">
        <f t="shared" si="1"/>
        <v>-6845174589</v>
      </c>
      <c r="J13" s="22">
        <f t="shared" si="0"/>
        <v>-0.40129144116569387</v>
      </c>
    </row>
    <row r="14" spans="2:12" x14ac:dyDescent="0.25">
      <c r="B14" s="1" t="s">
        <v>7</v>
      </c>
      <c r="E14" s="4">
        <f>+E9-E13</f>
        <v>1895176666</v>
      </c>
      <c r="G14" s="7">
        <f>+G9-G13</f>
        <v>2439132367</v>
      </c>
      <c r="I14" s="21">
        <f t="shared" si="1"/>
        <v>-543955701</v>
      </c>
      <c r="J14" s="22">
        <f t="shared" si="0"/>
        <v>-0.22301196456551306</v>
      </c>
    </row>
    <row r="15" spans="2:12" x14ac:dyDescent="0.25">
      <c r="B15" s="1" t="s">
        <v>6</v>
      </c>
      <c r="E15" s="4">
        <f>SUM(E16:E25)</f>
        <v>655229557</v>
      </c>
      <c r="G15" s="7">
        <f>SUM(G16:G25)</f>
        <v>986824024</v>
      </c>
      <c r="I15" s="21">
        <f t="shared" si="1"/>
        <v>-331594467</v>
      </c>
      <c r="J15" s="22">
        <f t="shared" si="0"/>
        <v>-0.33602188326943283</v>
      </c>
    </row>
    <row r="16" spans="2:12" x14ac:dyDescent="0.25">
      <c r="B16" t="s">
        <v>8</v>
      </c>
      <c r="E16" s="3">
        <v>415017492</v>
      </c>
      <c r="G16" s="6">
        <v>245094841</v>
      </c>
      <c r="I16" s="21">
        <f t="shared" si="1"/>
        <v>169922651</v>
      </c>
      <c r="J16" s="22">
        <f t="shared" si="0"/>
        <v>0.69329346267227221</v>
      </c>
    </row>
    <row r="17" spans="2:10" x14ac:dyDescent="0.25">
      <c r="B17" t="s">
        <v>9</v>
      </c>
      <c r="E17" s="3">
        <v>83158008</v>
      </c>
      <c r="G17" s="6">
        <v>62376618</v>
      </c>
      <c r="I17" s="21">
        <f t="shared" si="1"/>
        <v>20781390</v>
      </c>
      <c r="J17" s="22">
        <f t="shared" si="0"/>
        <v>0.33315993502565339</v>
      </c>
    </row>
    <row r="18" spans="2:10" x14ac:dyDescent="0.25">
      <c r="B18" t="s">
        <v>10</v>
      </c>
      <c r="E18" s="3">
        <v>4092155</v>
      </c>
      <c r="G18" s="6">
        <v>5021493</v>
      </c>
      <c r="I18" s="21">
        <f t="shared" si="1"/>
        <v>-929338</v>
      </c>
      <c r="J18" s="22">
        <f t="shared" si="0"/>
        <v>-0.18507204928892662</v>
      </c>
    </row>
    <row r="19" spans="2:10" x14ac:dyDescent="0.25">
      <c r="B19" t="s">
        <v>11</v>
      </c>
      <c r="E19" s="3">
        <v>0</v>
      </c>
      <c r="G19" s="6">
        <v>443000</v>
      </c>
      <c r="I19" s="21">
        <f t="shared" si="1"/>
        <v>-443000</v>
      </c>
      <c r="J19" s="22">
        <f t="shared" si="0"/>
        <v>-1</v>
      </c>
    </row>
    <row r="20" spans="2:10" x14ac:dyDescent="0.25">
      <c r="B20" t="s">
        <v>12</v>
      </c>
      <c r="E20" s="3">
        <v>15536776</v>
      </c>
      <c r="G20" s="6">
        <v>2911811</v>
      </c>
      <c r="I20" s="21">
        <f t="shared" si="1"/>
        <v>12624965</v>
      </c>
      <c r="J20" s="22">
        <f t="shared" si="0"/>
        <v>4.335777631171803</v>
      </c>
    </row>
    <row r="21" spans="2:10" x14ac:dyDescent="0.25">
      <c r="B21" t="s">
        <v>13</v>
      </c>
      <c r="E21" s="3">
        <v>19085217</v>
      </c>
      <c r="G21" s="6">
        <v>22331460</v>
      </c>
      <c r="I21" s="21">
        <f t="shared" si="1"/>
        <v>-3246243</v>
      </c>
      <c r="J21" s="22">
        <f t="shared" si="0"/>
        <v>-0.1453663575959655</v>
      </c>
    </row>
    <row r="22" spans="2:10" x14ac:dyDescent="0.25">
      <c r="B22" t="s">
        <v>14</v>
      </c>
      <c r="E22" s="3">
        <v>4261833</v>
      </c>
      <c r="G22" s="6">
        <v>14341186</v>
      </c>
      <c r="I22" s="21">
        <f t="shared" si="1"/>
        <v>-10079353</v>
      </c>
      <c r="J22" s="22">
        <f t="shared" si="0"/>
        <v>-0.70282562404531956</v>
      </c>
    </row>
    <row r="23" spans="2:10" x14ac:dyDescent="0.25">
      <c r="B23" t="s">
        <v>15</v>
      </c>
      <c r="E23" s="3">
        <v>1191109</v>
      </c>
      <c r="G23" s="6">
        <v>4314917</v>
      </c>
      <c r="I23" s="21">
        <f t="shared" si="1"/>
        <v>-3123808</v>
      </c>
      <c r="J23" s="22">
        <f t="shared" si="0"/>
        <v>-0.72395552452109735</v>
      </c>
    </row>
    <row r="24" spans="2:10" x14ac:dyDescent="0.25">
      <c r="B24" t="s">
        <v>16</v>
      </c>
      <c r="E24" s="3">
        <v>88873773</v>
      </c>
      <c r="G24" s="6">
        <v>622650168</v>
      </c>
      <c r="I24" s="21">
        <f t="shared" si="1"/>
        <v>-533776395</v>
      </c>
      <c r="J24" s="22">
        <f t="shared" si="0"/>
        <v>-0.85726531916715065</v>
      </c>
    </row>
    <row r="25" spans="2:10" x14ac:dyDescent="0.25">
      <c r="B25" t="s">
        <v>17</v>
      </c>
      <c r="E25" s="3">
        <v>24013194</v>
      </c>
      <c r="G25" s="6">
        <v>7338530</v>
      </c>
      <c r="I25" s="21">
        <f t="shared" si="1"/>
        <v>16674664</v>
      </c>
      <c r="J25" s="22">
        <f t="shared" si="0"/>
        <v>2.2722076492158512</v>
      </c>
    </row>
    <row r="26" spans="2:10" x14ac:dyDescent="0.25">
      <c r="B26" s="1" t="s">
        <v>18</v>
      </c>
      <c r="E26" s="4">
        <f>+E27+E28+E29+E30+E31+E32+E33+E34+E35</f>
        <v>660523714</v>
      </c>
      <c r="G26" s="7">
        <f>SUM(G27:G35)</f>
        <v>600515487</v>
      </c>
      <c r="I26" s="21">
        <f t="shared" si="1"/>
        <v>60008227</v>
      </c>
      <c r="J26" s="22">
        <f t="shared" si="0"/>
        <v>9.9927859146120568E-2</v>
      </c>
    </row>
    <row r="27" spans="2:10" x14ac:dyDescent="0.25">
      <c r="B27" t="s">
        <v>19</v>
      </c>
      <c r="E27" s="3">
        <v>418638328</v>
      </c>
      <c r="G27" s="6">
        <v>414802619</v>
      </c>
      <c r="I27" s="21">
        <f t="shared" si="1"/>
        <v>3835709</v>
      </c>
      <c r="J27" s="22">
        <f t="shared" si="0"/>
        <v>9.2470703517906188E-3</v>
      </c>
    </row>
    <row r="28" spans="2:10" x14ac:dyDescent="0.25">
      <c r="B28" t="s">
        <v>9</v>
      </c>
      <c r="E28" s="3">
        <v>19040000</v>
      </c>
      <c r="G28" s="6">
        <v>3752000</v>
      </c>
      <c r="I28" s="21">
        <f t="shared" si="1"/>
        <v>15288000</v>
      </c>
      <c r="J28" s="22">
        <f t="shared" si="0"/>
        <v>4.0746268656716422</v>
      </c>
    </row>
    <row r="29" spans="2:10" x14ac:dyDescent="0.25">
      <c r="B29" t="s">
        <v>10</v>
      </c>
      <c r="E29" s="3">
        <v>56045451</v>
      </c>
      <c r="G29" s="6">
        <v>67690293</v>
      </c>
      <c r="I29" s="21">
        <f t="shared" si="1"/>
        <v>-11644842</v>
      </c>
      <c r="J29" s="22">
        <f t="shared" si="0"/>
        <v>-0.17203119507844353</v>
      </c>
    </row>
    <row r="30" spans="2:10" x14ac:dyDescent="0.25">
      <c r="B30" t="s">
        <v>12</v>
      </c>
      <c r="E30" s="3">
        <v>11876380</v>
      </c>
      <c r="G30" s="6">
        <v>5412920</v>
      </c>
      <c r="I30" s="21">
        <f t="shared" si="1"/>
        <v>6463460</v>
      </c>
      <c r="J30" s="22">
        <f t="shared" si="0"/>
        <v>1.194080089859078</v>
      </c>
    </row>
    <row r="31" spans="2:10" x14ac:dyDescent="0.25">
      <c r="B31" t="s">
        <v>13</v>
      </c>
      <c r="E31" s="3">
        <v>77668462</v>
      </c>
      <c r="G31" s="6">
        <v>72802276</v>
      </c>
      <c r="I31" s="21">
        <f t="shared" si="1"/>
        <v>4866186</v>
      </c>
      <c r="J31" s="22">
        <f t="shared" si="0"/>
        <v>6.6841124582423764E-2</v>
      </c>
    </row>
    <row r="32" spans="2:10" x14ac:dyDescent="0.25">
      <c r="B32" t="s">
        <v>20</v>
      </c>
      <c r="E32" s="3">
        <v>870349</v>
      </c>
      <c r="G32" s="6">
        <v>1446000</v>
      </c>
      <c r="I32" s="21">
        <f t="shared" si="1"/>
        <v>-575651</v>
      </c>
      <c r="J32" s="22">
        <f t="shared" si="0"/>
        <v>-0.39809889349930844</v>
      </c>
    </row>
    <row r="33" spans="2:10" x14ac:dyDescent="0.25">
      <c r="B33" t="s">
        <v>15</v>
      </c>
      <c r="E33" s="3">
        <v>16112922</v>
      </c>
      <c r="G33" s="6">
        <v>11966845</v>
      </c>
      <c r="I33" s="21">
        <f t="shared" si="1"/>
        <v>4146077</v>
      </c>
      <c r="J33" s="22">
        <f t="shared" si="0"/>
        <v>0.34646366690635672</v>
      </c>
    </row>
    <row r="34" spans="2:10" x14ac:dyDescent="0.25">
      <c r="B34" t="s">
        <v>16</v>
      </c>
      <c r="E34" s="3">
        <v>54625948</v>
      </c>
      <c r="G34" s="6">
        <v>0</v>
      </c>
      <c r="I34" s="21">
        <f t="shared" si="1"/>
        <v>54625948</v>
      </c>
      <c r="J34" s="24"/>
    </row>
    <row r="35" spans="2:10" x14ac:dyDescent="0.25">
      <c r="B35" t="s">
        <v>17</v>
      </c>
      <c r="E35" s="3">
        <v>5645874</v>
      </c>
      <c r="G35" s="6">
        <v>22642534</v>
      </c>
      <c r="I35" s="21">
        <f t="shared" si="1"/>
        <v>-16996660</v>
      </c>
      <c r="J35" s="22">
        <f t="shared" si="0"/>
        <v>-0.75065184841943933</v>
      </c>
    </row>
    <row r="36" spans="2:10" x14ac:dyDescent="0.25">
      <c r="B36" s="1" t="s">
        <v>21</v>
      </c>
      <c r="E36" s="4">
        <v>579423395</v>
      </c>
      <c r="G36" s="7">
        <v>851792856</v>
      </c>
      <c r="I36" s="21">
        <f t="shared" si="1"/>
        <v>-272369461</v>
      </c>
      <c r="J36" s="22">
        <f t="shared" si="0"/>
        <v>-0.31976020822602436</v>
      </c>
    </row>
    <row r="37" spans="2:10" x14ac:dyDescent="0.25">
      <c r="B37" s="1" t="s">
        <v>22</v>
      </c>
      <c r="E37" s="4">
        <f>SUM(E38:E43)</f>
        <v>352169061</v>
      </c>
      <c r="G37" s="7">
        <f>SUM(G38:G43)</f>
        <v>220508657</v>
      </c>
      <c r="I37" s="21">
        <f t="shared" si="1"/>
        <v>131660404</v>
      </c>
      <c r="J37" s="22">
        <f t="shared" si="0"/>
        <v>0.59707589620846491</v>
      </c>
    </row>
    <row r="38" spans="2:10" x14ac:dyDescent="0.25">
      <c r="B38" t="s">
        <v>23</v>
      </c>
      <c r="E38" s="3">
        <v>69693053</v>
      </c>
      <c r="G38" s="6">
        <v>15954457</v>
      </c>
      <c r="I38" s="21">
        <f t="shared" si="1"/>
        <v>53738596</v>
      </c>
      <c r="J38" s="22">
        <f t="shared" si="0"/>
        <v>3.3682497624331558</v>
      </c>
    </row>
    <row r="39" spans="2:10" x14ac:dyDescent="0.25">
      <c r="B39" t="s">
        <v>24</v>
      </c>
      <c r="E39" s="3">
        <v>1179645</v>
      </c>
      <c r="G39" s="6">
        <v>598981</v>
      </c>
      <c r="I39" s="21">
        <f t="shared" si="1"/>
        <v>580664</v>
      </c>
      <c r="J39" s="22">
        <f t="shared" si="0"/>
        <v>0.96941973117678193</v>
      </c>
    </row>
    <row r="40" spans="2:10" x14ac:dyDescent="0.25">
      <c r="B40" t="s">
        <v>25</v>
      </c>
      <c r="E40" s="3">
        <v>207923474</v>
      </c>
      <c r="G40" s="6">
        <v>72912333</v>
      </c>
      <c r="I40" s="21">
        <f t="shared" si="1"/>
        <v>135011141</v>
      </c>
      <c r="J40" s="22">
        <f t="shared" si="0"/>
        <v>1.8516914141260574</v>
      </c>
    </row>
    <row r="41" spans="2:10" x14ac:dyDescent="0.25">
      <c r="B41" t="s">
        <v>26</v>
      </c>
      <c r="E41" s="3">
        <v>19291116</v>
      </c>
      <c r="G41" s="6">
        <v>24363372</v>
      </c>
      <c r="I41" s="21">
        <f t="shared" si="1"/>
        <v>-5072256</v>
      </c>
      <c r="J41" s="22">
        <f t="shared" si="0"/>
        <v>-0.20819187097746569</v>
      </c>
    </row>
    <row r="42" spans="2:10" x14ac:dyDescent="0.25">
      <c r="B42" t="s">
        <v>27</v>
      </c>
      <c r="E42" s="3">
        <v>1081773</v>
      </c>
      <c r="G42" s="6">
        <v>43679514</v>
      </c>
      <c r="I42" s="21">
        <f t="shared" si="1"/>
        <v>-42597741</v>
      </c>
      <c r="J42" s="22">
        <f t="shared" si="0"/>
        <v>-0.97523385905804716</v>
      </c>
    </row>
    <row r="43" spans="2:10" x14ac:dyDescent="0.25">
      <c r="B43" t="s">
        <v>28</v>
      </c>
      <c r="E43" s="3">
        <v>53000000</v>
      </c>
      <c r="G43" s="6">
        <v>63000000</v>
      </c>
      <c r="I43" s="21">
        <f t="shared" si="1"/>
        <v>-10000000</v>
      </c>
      <c r="J43" s="22">
        <f t="shared" si="0"/>
        <v>-0.15873015873015872</v>
      </c>
    </row>
    <row r="44" spans="2:10" x14ac:dyDescent="0.25">
      <c r="B44" s="1" t="s">
        <v>29</v>
      </c>
      <c r="E44" s="4">
        <f>E45+E46+E47+E48</f>
        <v>707838053</v>
      </c>
      <c r="G44" s="7">
        <f>SUM(G45:G48)</f>
        <v>653860511</v>
      </c>
      <c r="I44" s="21">
        <f t="shared" si="1"/>
        <v>53977542</v>
      </c>
      <c r="J44" s="22">
        <f t="shared" si="0"/>
        <v>8.2552075086241142E-2</v>
      </c>
    </row>
    <row r="45" spans="2:10" x14ac:dyDescent="0.25">
      <c r="B45" t="s">
        <v>30</v>
      </c>
      <c r="E45" s="3">
        <v>532608317</v>
      </c>
      <c r="G45" s="6">
        <v>482310386</v>
      </c>
      <c r="I45" s="21">
        <f t="shared" si="1"/>
        <v>50297931</v>
      </c>
      <c r="J45" s="22">
        <f t="shared" si="0"/>
        <v>0.10428539890492841</v>
      </c>
    </row>
    <row r="46" spans="2:10" x14ac:dyDescent="0.25">
      <c r="B46" t="s">
        <v>31</v>
      </c>
      <c r="E46" s="3">
        <v>59516403</v>
      </c>
      <c r="G46" s="6">
        <v>82041710</v>
      </c>
      <c r="I46" s="21">
        <f t="shared" si="1"/>
        <v>-22525307</v>
      </c>
      <c r="J46" s="22">
        <f t="shared" si="0"/>
        <v>-0.27455920896821873</v>
      </c>
    </row>
    <row r="47" spans="2:10" x14ac:dyDescent="0.25">
      <c r="B47" t="s">
        <v>38</v>
      </c>
      <c r="E47" s="3">
        <v>1200407</v>
      </c>
      <c r="G47" s="6">
        <v>77478040</v>
      </c>
      <c r="I47" s="21">
        <f t="shared" si="1"/>
        <v>-76277633</v>
      </c>
      <c r="J47" s="22">
        <f t="shared" si="0"/>
        <v>-0.98450648725755063</v>
      </c>
    </row>
    <row r="48" spans="2:10" x14ac:dyDescent="0.25">
      <c r="B48" t="s">
        <v>17</v>
      </c>
      <c r="E48" s="3">
        <v>114512926</v>
      </c>
      <c r="G48" s="6">
        <v>12030375</v>
      </c>
      <c r="I48" s="21">
        <f t="shared" si="1"/>
        <v>102482551</v>
      </c>
      <c r="J48" s="22">
        <f t="shared" si="0"/>
        <v>8.5186497511507326</v>
      </c>
    </row>
    <row r="49" spans="2:11" x14ac:dyDescent="0.25">
      <c r="B49" s="1" t="s">
        <v>32</v>
      </c>
      <c r="E49" s="4">
        <v>223754403</v>
      </c>
      <c r="G49" s="7">
        <v>418441002</v>
      </c>
      <c r="I49" s="21">
        <f t="shared" si="1"/>
        <v>-194686599</v>
      </c>
      <c r="J49" s="22">
        <f t="shared" si="0"/>
        <v>-0.46526654431441211</v>
      </c>
    </row>
    <row r="50" spans="2:11" x14ac:dyDescent="0.25">
      <c r="B50" t="s">
        <v>33</v>
      </c>
      <c r="E50" s="3">
        <v>78314041</v>
      </c>
      <c r="G50" s="6">
        <v>162696411</v>
      </c>
      <c r="I50" s="21">
        <f t="shared" si="1"/>
        <v>-84382370</v>
      </c>
      <c r="J50" s="22">
        <f t="shared" si="0"/>
        <v>-0.51864924051705108</v>
      </c>
    </row>
    <row r="51" spans="2:11" x14ac:dyDescent="0.25">
      <c r="B51" s="1" t="s">
        <v>34</v>
      </c>
      <c r="E51" s="4">
        <v>145440362</v>
      </c>
      <c r="G51" s="7">
        <v>255744591</v>
      </c>
      <c r="I51" s="21">
        <f t="shared" si="1"/>
        <v>-110304229</v>
      </c>
      <c r="J51" s="22">
        <f t="shared" si="0"/>
        <v>-0.43130620502546618</v>
      </c>
    </row>
    <row r="53" spans="2:11" x14ac:dyDescent="0.25">
      <c r="C53" s="67" t="s">
        <v>39</v>
      </c>
      <c r="D53" s="67"/>
      <c r="E53" s="67"/>
      <c r="F53" s="67"/>
      <c r="G53" s="67"/>
      <c r="H53" s="67"/>
      <c r="I53" s="67"/>
    </row>
    <row r="54" spans="2:11" x14ac:dyDescent="0.25">
      <c r="C54" s="67" t="s">
        <v>36</v>
      </c>
      <c r="D54" s="67"/>
      <c r="E54" s="67"/>
      <c r="F54" s="67"/>
      <c r="G54" s="67"/>
      <c r="H54" s="67"/>
      <c r="I54" s="67"/>
    </row>
    <row r="55" spans="2:11" x14ac:dyDescent="0.25">
      <c r="C55" s="66" t="s">
        <v>37</v>
      </c>
      <c r="D55" s="66"/>
      <c r="E55" s="66"/>
      <c r="F55" s="66"/>
      <c r="G55" s="66"/>
      <c r="H55" s="66"/>
      <c r="I55" s="66"/>
    </row>
    <row r="56" spans="2:11" x14ac:dyDescent="0.25">
      <c r="C56" s="2"/>
      <c r="D56" s="2"/>
      <c r="E56" s="2"/>
      <c r="F56" s="2"/>
      <c r="G56" s="2"/>
      <c r="H56" s="2"/>
      <c r="I56" s="2"/>
    </row>
    <row r="57" spans="2:11" x14ac:dyDescent="0.25">
      <c r="C57" s="2"/>
      <c r="D57" s="2"/>
      <c r="E57" s="5">
        <v>2023</v>
      </c>
      <c r="F57" s="2"/>
      <c r="G57" s="91">
        <v>2022</v>
      </c>
      <c r="H57" s="2"/>
      <c r="I57" s="2"/>
    </row>
    <row r="58" spans="2:11" x14ac:dyDescent="0.25">
      <c r="B58" s="1" t="s">
        <v>40</v>
      </c>
      <c r="I58" s="67" t="s">
        <v>80</v>
      </c>
      <c r="J58" s="67"/>
    </row>
    <row r="59" spans="2:11" x14ac:dyDescent="0.25">
      <c r="B59" s="1" t="s">
        <v>41</v>
      </c>
      <c r="I59" s="1" t="s">
        <v>78</v>
      </c>
      <c r="J59" s="1" t="s">
        <v>79</v>
      </c>
    </row>
    <row r="60" spans="2:11" x14ac:dyDescent="0.25">
      <c r="B60" t="s">
        <v>42</v>
      </c>
      <c r="E60" s="3">
        <v>353386148</v>
      </c>
      <c r="G60" s="3">
        <v>100928394</v>
      </c>
      <c r="I60" s="21">
        <f>+E60-G60</f>
        <v>252457754</v>
      </c>
      <c r="J60" s="22">
        <f>+I60/G60</f>
        <v>2.501355109247057</v>
      </c>
      <c r="K60" s="93"/>
    </row>
    <row r="61" spans="2:11" x14ac:dyDescent="0.25">
      <c r="B61" t="s">
        <v>43</v>
      </c>
      <c r="E61" s="3">
        <v>440207</v>
      </c>
      <c r="G61" s="3">
        <v>2350493</v>
      </c>
      <c r="I61" s="21">
        <f t="shared" ref="I61:I95" si="2">+E61-G61</f>
        <v>-1910286</v>
      </c>
      <c r="J61" s="22">
        <f t="shared" ref="J61:J73" si="3">+I61/G61</f>
        <v>-0.81271716188901644</v>
      </c>
    </row>
    <row r="62" spans="2:11" x14ac:dyDescent="0.25">
      <c r="B62" t="s">
        <v>44</v>
      </c>
      <c r="E62" s="3">
        <v>1113227848</v>
      </c>
      <c r="G62" s="3">
        <v>2377481741</v>
      </c>
      <c r="I62" s="21">
        <f t="shared" si="2"/>
        <v>-1264253893</v>
      </c>
      <c r="J62" s="22">
        <f t="shared" si="3"/>
        <v>-0.53176176758700922</v>
      </c>
    </row>
    <row r="63" spans="2:11" x14ac:dyDescent="0.25">
      <c r="B63" t="s">
        <v>45</v>
      </c>
      <c r="E63" s="3">
        <v>236987486</v>
      </c>
      <c r="G63" s="3">
        <v>257207644</v>
      </c>
      <c r="I63" s="21">
        <f t="shared" si="2"/>
        <v>-20220158</v>
      </c>
      <c r="J63" s="22">
        <f t="shared" si="3"/>
        <v>-7.8614141032293736E-2</v>
      </c>
    </row>
    <row r="64" spans="2:11" x14ac:dyDescent="0.25">
      <c r="B64" t="s">
        <v>46</v>
      </c>
      <c r="E64" s="3">
        <v>3090849077</v>
      </c>
      <c r="G64" s="3">
        <v>2203677622</v>
      </c>
      <c r="I64" s="21">
        <f t="shared" si="2"/>
        <v>887171455</v>
      </c>
      <c r="J64" s="22">
        <f t="shared" si="3"/>
        <v>0.40258676956333861</v>
      </c>
    </row>
    <row r="65" spans="2:10" x14ac:dyDescent="0.25">
      <c r="B65" t="s">
        <v>47</v>
      </c>
      <c r="E65" s="3">
        <v>13318073</v>
      </c>
      <c r="G65" s="3">
        <v>5246699</v>
      </c>
      <c r="I65" s="21">
        <f t="shared" si="2"/>
        <v>8071374</v>
      </c>
      <c r="J65" s="22">
        <f t="shared" si="3"/>
        <v>1.5383718410375742</v>
      </c>
    </row>
    <row r="66" spans="2:10" x14ac:dyDescent="0.25">
      <c r="B66" s="8" t="s">
        <v>48</v>
      </c>
      <c r="C66" s="9"/>
      <c r="D66" s="9"/>
      <c r="E66" s="10">
        <f>SUM(E60:E65)</f>
        <v>4808208839</v>
      </c>
      <c r="G66" s="10">
        <f>SUM(G60:G65)</f>
        <v>4946892593</v>
      </c>
      <c r="I66" s="21">
        <f t="shared" si="2"/>
        <v>-138683754</v>
      </c>
      <c r="J66" s="22">
        <f>+I66/G66</f>
        <v>-2.8034518921280328E-2</v>
      </c>
    </row>
    <row r="67" spans="2:10" x14ac:dyDescent="0.25">
      <c r="B67" s="1" t="s">
        <v>49</v>
      </c>
      <c r="E67" s="3"/>
      <c r="G67" s="3"/>
      <c r="I67" s="21"/>
      <c r="J67" s="22"/>
    </row>
    <row r="68" spans="2:10" x14ac:dyDescent="0.25">
      <c r="B68" t="s">
        <v>50</v>
      </c>
      <c r="E68" s="3">
        <v>0</v>
      </c>
      <c r="G68" s="3">
        <v>20371988</v>
      </c>
      <c r="I68" s="21">
        <f t="shared" si="2"/>
        <v>-20371988</v>
      </c>
      <c r="J68" s="22">
        <f>+I68/G68</f>
        <v>-1</v>
      </c>
    </row>
    <row r="69" spans="2:10" x14ac:dyDescent="0.25">
      <c r="B69" t="s">
        <v>51</v>
      </c>
      <c r="E69" s="3">
        <v>12362211201</v>
      </c>
      <c r="G69" s="3">
        <v>12350743865</v>
      </c>
      <c r="I69" s="21">
        <f t="shared" si="2"/>
        <v>11467336</v>
      </c>
      <c r="J69" s="22">
        <f t="shared" si="3"/>
        <v>9.2847330698004075E-4</v>
      </c>
    </row>
    <row r="70" spans="2:10" x14ac:dyDescent="0.25">
      <c r="B70" t="s">
        <v>52</v>
      </c>
      <c r="E70" s="3">
        <v>1285459000</v>
      </c>
      <c r="G70" s="3">
        <v>1285459000</v>
      </c>
      <c r="I70" s="21">
        <f t="shared" si="2"/>
        <v>0</v>
      </c>
      <c r="J70" s="22">
        <f t="shared" si="3"/>
        <v>0</v>
      </c>
    </row>
    <row r="71" spans="2:10" x14ac:dyDescent="0.25">
      <c r="B71" t="s">
        <v>16</v>
      </c>
      <c r="E71" s="11">
        <v>4441205540</v>
      </c>
      <c r="G71" s="11">
        <v>3448539522</v>
      </c>
      <c r="I71" s="21">
        <f t="shared" si="2"/>
        <v>992666018</v>
      </c>
      <c r="J71" s="22">
        <f t="shared" si="3"/>
        <v>0.28785113572492793</v>
      </c>
    </row>
    <row r="72" spans="2:10" x14ac:dyDescent="0.25">
      <c r="B72" s="8" t="s">
        <v>53</v>
      </c>
      <c r="C72" s="9"/>
      <c r="D72" s="9"/>
      <c r="E72" s="13">
        <f>+E69+E70-E71</f>
        <v>9206464661</v>
      </c>
      <c r="G72" s="13">
        <f>+G68+G69+G70-G71</f>
        <v>10208035331</v>
      </c>
      <c r="I72" s="21">
        <f t="shared" si="2"/>
        <v>-1001570670</v>
      </c>
      <c r="J72" s="22">
        <f t="shared" si="3"/>
        <v>-9.8115909430525464E-2</v>
      </c>
    </row>
    <row r="73" spans="2:10" x14ac:dyDescent="0.25">
      <c r="B73" s="14" t="s">
        <v>54</v>
      </c>
      <c r="C73" s="15"/>
      <c r="D73" s="15"/>
      <c r="E73" s="16">
        <f>+E72+E66</f>
        <v>14014673500</v>
      </c>
      <c r="G73" s="16">
        <f>+G72+G66</f>
        <v>15154927924</v>
      </c>
      <c r="I73" s="21">
        <f t="shared" si="2"/>
        <v>-1140254424</v>
      </c>
      <c r="J73" s="22">
        <f t="shared" si="3"/>
        <v>-7.5239844736855771E-2</v>
      </c>
    </row>
    <row r="74" spans="2:10" x14ac:dyDescent="0.25">
      <c r="B74" s="1" t="s">
        <v>55</v>
      </c>
      <c r="E74" s="3"/>
      <c r="G74" s="3"/>
      <c r="I74" s="21"/>
    </row>
    <row r="75" spans="2:10" x14ac:dyDescent="0.25">
      <c r="B75" s="1" t="s">
        <v>56</v>
      </c>
      <c r="E75" s="3"/>
      <c r="G75" s="3"/>
      <c r="I75" s="21"/>
    </row>
    <row r="76" spans="2:10" x14ac:dyDescent="0.25">
      <c r="B76" t="s">
        <v>57</v>
      </c>
      <c r="E76" s="3">
        <v>240014466</v>
      </c>
      <c r="G76" s="3">
        <v>175680539</v>
      </c>
      <c r="I76" s="21">
        <f t="shared" si="2"/>
        <v>64333927</v>
      </c>
      <c r="J76" s="22">
        <f t="shared" ref="J76:J83" si="4">+I76/G76</f>
        <v>0.36619836987180465</v>
      </c>
    </row>
    <row r="77" spans="2:10" x14ac:dyDescent="0.25">
      <c r="B77" t="s">
        <v>58</v>
      </c>
      <c r="E77" s="3">
        <v>2945168359</v>
      </c>
      <c r="G77" s="3">
        <v>2969700691</v>
      </c>
      <c r="I77" s="21">
        <f t="shared" si="2"/>
        <v>-24532332</v>
      </c>
      <c r="J77" s="22">
        <f t="shared" si="4"/>
        <v>-8.2608769544849723E-3</v>
      </c>
    </row>
    <row r="78" spans="2:10" x14ac:dyDescent="0.25">
      <c r="B78" t="s">
        <v>59</v>
      </c>
      <c r="E78" s="3">
        <v>182633328</v>
      </c>
      <c r="G78" s="3">
        <v>266419647</v>
      </c>
      <c r="I78" s="21">
        <f t="shared" si="2"/>
        <v>-83786319</v>
      </c>
      <c r="J78" s="22">
        <f t="shared" si="4"/>
        <v>-0.31449001582079267</v>
      </c>
    </row>
    <row r="79" spans="2:10" x14ac:dyDescent="0.25">
      <c r="B79" t="s">
        <v>60</v>
      </c>
      <c r="E79" s="3">
        <v>135331026</v>
      </c>
      <c r="G79" s="3">
        <v>199830652</v>
      </c>
      <c r="I79" s="21">
        <f t="shared" si="2"/>
        <v>-64499626</v>
      </c>
      <c r="J79" s="22">
        <f t="shared" si="4"/>
        <v>-0.32277143348358789</v>
      </c>
    </row>
    <row r="80" spans="2:10" x14ac:dyDescent="0.25">
      <c r="B80" t="s">
        <v>61</v>
      </c>
      <c r="E80" s="3">
        <v>192800872</v>
      </c>
      <c r="G80" s="3">
        <v>215008194</v>
      </c>
      <c r="I80" s="21">
        <f t="shared" si="2"/>
        <v>-22207322</v>
      </c>
      <c r="J80" s="22">
        <f t="shared" si="4"/>
        <v>-0.10328593337238115</v>
      </c>
    </row>
    <row r="81" spans="2:10" x14ac:dyDescent="0.25">
      <c r="B81" s="8" t="s">
        <v>62</v>
      </c>
      <c r="C81" s="9"/>
      <c r="D81" s="9"/>
      <c r="E81" s="10">
        <f>SUM(E76:E80)</f>
        <v>3695948051</v>
      </c>
      <c r="G81" s="10">
        <f>SUM(G76:G80)</f>
        <v>3826639723</v>
      </c>
      <c r="I81" s="21">
        <f t="shared" si="2"/>
        <v>-130691672</v>
      </c>
      <c r="J81" s="22">
        <f t="shared" si="4"/>
        <v>-3.4153116431232949E-2</v>
      </c>
    </row>
    <row r="82" spans="2:10" x14ac:dyDescent="0.25">
      <c r="B82" s="1" t="s">
        <v>63</v>
      </c>
      <c r="E82" s="3"/>
      <c r="G82" s="3"/>
      <c r="I82" s="21">
        <f t="shared" si="2"/>
        <v>0</v>
      </c>
    </row>
    <row r="83" spans="2:10" x14ac:dyDescent="0.25">
      <c r="B83" t="s">
        <v>57</v>
      </c>
      <c r="E83" s="3">
        <v>3114399964</v>
      </c>
      <c r="G83" s="3">
        <v>1998368959</v>
      </c>
      <c r="I83" s="21">
        <f t="shared" si="2"/>
        <v>1116031005</v>
      </c>
      <c r="J83" s="22">
        <f>+I83/G83</f>
        <v>0.5584709470059378</v>
      </c>
    </row>
    <row r="84" spans="2:10" x14ac:dyDescent="0.25">
      <c r="B84" t="s">
        <v>64</v>
      </c>
      <c r="E84" s="3">
        <v>0</v>
      </c>
      <c r="G84" s="3">
        <v>1979800461</v>
      </c>
      <c r="I84" s="21">
        <f t="shared" si="2"/>
        <v>-1979800461</v>
      </c>
      <c r="J84" s="22">
        <f t="shared" ref="J84:J95" si="5">+I84/G84</f>
        <v>-1</v>
      </c>
    </row>
    <row r="85" spans="2:10" x14ac:dyDescent="0.25">
      <c r="B85" t="s">
        <v>65</v>
      </c>
      <c r="E85" s="3">
        <v>436969</v>
      </c>
      <c r="G85" s="3">
        <v>397670627</v>
      </c>
      <c r="I85" s="21">
        <f t="shared" si="2"/>
        <v>-397233658</v>
      </c>
      <c r="J85" s="22">
        <f t="shared" si="5"/>
        <v>-0.9989011785876758</v>
      </c>
    </row>
    <row r="86" spans="2:10" x14ac:dyDescent="0.25">
      <c r="B86" s="8" t="s">
        <v>66</v>
      </c>
      <c r="C86" s="9"/>
      <c r="D86" s="9"/>
      <c r="E86" s="10">
        <f>SUM(E83:E85)</f>
        <v>3114836933</v>
      </c>
      <c r="G86" s="10">
        <f>SUM(G83:G85)</f>
        <v>4375840047</v>
      </c>
      <c r="I86" s="21">
        <f t="shared" si="2"/>
        <v>-1261003114</v>
      </c>
      <c r="J86" s="22">
        <f t="shared" si="5"/>
        <v>-0.28817395070565294</v>
      </c>
    </row>
    <row r="87" spans="2:10" x14ac:dyDescent="0.25">
      <c r="B87" s="14" t="s">
        <v>67</v>
      </c>
      <c r="C87" s="15"/>
      <c r="D87" s="15"/>
      <c r="E87" s="16">
        <f>+E86+E81</f>
        <v>6810784984</v>
      </c>
      <c r="G87" s="17">
        <f>+G86+G81</f>
        <v>8202479770</v>
      </c>
      <c r="I87" s="21">
        <f t="shared" si="2"/>
        <v>-1391694786</v>
      </c>
      <c r="J87" s="22">
        <f t="shared" si="5"/>
        <v>-0.16966756700699551</v>
      </c>
    </row>
    <row r="88" spans="2:10" x14ac:dyDescent="0.25">
      <c r="B88" s="1" t="s">
        <v>74</v>
      </c>
      <c r="E88" s="3"/>
      <c r="G88" s="4"/>
      <c r="I88" s="21"/>
    </row>
    <row r="89" spans="2:10" x14ac:dyDescent="0.25">
      <c r="B89" t="s">
        <v>68</v>
      </c>
      <c r="E89" s="3">
        <v>656000000</v>
      </c>
      <c r="G89" s="3">
        <v>550000000</v>
      </c>
      <c r="I89" s="21">
        <f>+E89-G89</f>
        <v>106000000</v>
      </c>
      <c r="J89" s="22">
        <f t="shared" si="5"/>
        <v>0.19272727272727272</v>
      </c>
    </row>
    <row r="90" spans="2:10" x14ac:dyDescent="0.25">
      <c r="B90" t="s">
        <v>69</v>
      </c>
      <c r="E90" s="3">
        <v>4238531012</v>
      </c>
      <c r="G90" s="3">
        <v>4238531012</v>
      </c>
      <c r="I90" s="21">
        <f t="shared" si="2"/>
        <v>0</v>
      </c>
      <c r="J90" s="22">
        <f t="shared" si="5"/>
        <v>0</v>
      </c>
    </row>
    <row r="91" spans="2:10" x14ac:dyDescent="0.25">
      <c r="B91" t="s">
        <v>70</v>
      </c>
      <c r="E91" s="3">
        <v>267490580</v>
      </c>
      <c r="G91" s="3">
        <v>267490580</v>
      </c>
      <c r="I91" s="21">
        <f t="shared" si="2"/>
        <v>0</v>
      </c>
      <c r="J91" s="22">
        <f t="shared" si="5"/>
        <v>0</v>
      </c>
    </row>
    <row r="92" spans="2:10" x14ac:dyDescent="0.25">
      <c r="B92" t="s">
        <v>71</v>
      </c>
      <c r="E92" s="3">
        <v>1896426562</v>
      </c>
      <c r="G92" s="3">
        <v>1640681971</v>
      </c>
      <c r="I92" s="21">
        <f>+E92-G92</f>
        <v>255744591</v>
      </c>
      <c r="J92" s="22">
        <f t="shared" si="5"/>
        <v>0.1558770045142405</v>
      </c>
    </row>
    <row r="93" spans="2:10" x14ac:dyDescent="0.25">
      <c r="B93" t="s">
        <v>72</v>
      </c>
      <c r="E93" s="3">
        <v>145440362</v>
      </c>
      <c r="G93" s="3">
        <v>255744591</v>
      </c>
      <c r="I93" s="21">
        <f t="shared" si="2"/>
        <v>-110304229</v>
      </c>
      <c r="J93" s="22">
        <f t="shared" si="5"/>
        <v>-0.43130620502546618</v>
      </c>
    </row>
    <row r="94" spans="2:10" x14ac:dyDescent="0.25">
      <c r="B94" s="8" t="s">
        <v>73</v>
      </c>
      <c r="C94" s="9"/>
      <c r="D94" s="9"/>
      <c r="E94" s="18">
        <f>SUM(E89:E93)</f>
        <v>7203888516</v>
      </c>
      <c r="G94" s="18">
        <f>SUM(G89:G93)</f>
        <v>6952448154</v>
      </c>
      <c r="I94" s="21">
        <f t="shared" si="2"/>
        <v>251440362</v>
      </c>
      <c r="J94" s="22">
        <f t="shared" si="5"/>
        <v>3.6165729888303744E-2</v>
      </c>
    </row>
    <row r="95" spans="2:10" x14ac:dyDescent="0.25">
      <c r="B95" s="14" t="s">
        <v>75</v>
      </c>
      <c r="C95" s="15"/>
      <c r="D95" s="15"/>
      <c r="E95" s="19">
        <f>+E94+E87</f>
        <v>14014673500</v>
      </c>
      <c r="G95" s="19">
        <f>+G94+G87</f>
        <v>15154927924</v>
      </c>
      <c r="I95" s="21">
        <f t="shared" si="2"/>
        <v>-1140254424</v>
      </c>
      <c r="J95" s="22">
        <f t="shared" si="5"/>
        <v>-7.5239844736855771E-2</v>
      </c>
    </row>
  </sheetData>
  <mergeCells count="8">
    <mergeCell ref="I58:J58"/>
    <mergeCell ref="I5:J5"/>
    <mergeCell ref="C53:I53"/>
    <mergeCell ref="C54:I54"/>
    <mergeCell ref="C55:I55"/>
    <mergeCell ref="C1:I1"/>
    <mergeCell ref="C2:I2"/>
    <mergeCell ref="C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C68D1-0856-4814-979B-B4DF0D4E4025}">
  <dimension ref="B1:O72"/>
  <sheetViews>
    <sheetView topLeftCell="H1" zoomScaleNormal="100" workbookViewId="0">
      <selection activeCell="N60" sqref="N60"/>
    </sheetView>
  </sheetViews>
  <sheetFormatPr baseColWidth="10" defaultRowHeight="15" x14ac:dyDescent="0.25"/>
  <cols>
    <col min="2" max="2" width="41.5703125" customWidth="1"/>
    <col min="3" max="3" width="40.42578125" customWidth="1"/>
    <col min="4" max="4" width="27.5703125" customWidth="1"/>
    <col min="5" max="5" width="18.85546875" bestFit="1" customWidth="1"/>
    <col min="7" max="7" width="35.140625" customWidth="1"/>
    <col min="8" max="8" width="26.42578125" customWidth="1"/>
    <col min="9" max="9" width="29.7109375" customWidth="1"/>
    <col min="10" max="10" width="16.5703125" customWidth="1"/>
    <col min="12" max="12" width="38.5703125" customWidth="1"/>
    <col min="13" max="13" width="34.140625" customWidth="1"/>
    <col min="14" max="14" width="22.42578125" customWidth="1"/>
    <col min="15" max="15" width="20.85546875" customWidth="1"/>
  </cols>
  <sheetData>
    <row r="1" spans="2:15" ht="18.75" x14ac:dyDescent="0.3">
      <c r="B1" s="103">
        <v>2023</v>
      </c>
      <c r="C1" s="103"/>
      <c r="D1" s="103"/>
      <c r="E1" s="103"/>
      <c r="G1" s="103">
        <v>2023</v>
      </c>
      <c r="H1" s="103"/>
      <c r="I1" s="103"/>
      <c r="J1" s="103"/>
      <c r="N1" s="94" t="s">
        <v>143</v>
      </c>
      <c r="O1" s="95"/>
    </row>
    <row r="2" spans="2:15" ht="15.75" x14ac:dyDescent="0.25">
      <c r="B2" s="61" t="s">
        <v>84</v>
      </c>
      <c r="C2" s="57" t="s">
        <v>85</v>
      </c>
      <c r="D2" s="58"/>
      <c r="G2" s="61" t="s">
        <v>84</v>
      </c>
      <c r="H2" s="57" t="s">
        <v>85</v>
      </c>
      <c r="I2" s="58"/>
      <c r="L2" s="61" t="s">
        <v>84</v>
      </c>
      <c r="M2" s="57" t="s">
        <v>85</v>
      </c>
    </row>
    <row r="3" spans="2:15" ht="15.75" x14ac:dyDescent="0.25">
      <c r="B3" s="68" t="s">
        <v>86</v>
      </c>
      <c r="C3" s="48" t="s">
        <v>87</v>
      </c>
      <c r="D3" s="60">
        <v>4808208839</v>
      </c>
      <c r="E3" s="72" t="s">
        <v>132</v>
      </c>
      <c r="F3" s="26"/>
      <c r="G3" s="68" t="s">
        <v>86</v>
      </c>
      <c r="H3" s="48" t="s">
        <v>87</v>
      </c>
      <c r="I3" s="60">
        <f>+Hoja1!D69</f>
        <v>3938208839</v>
      </c>
      <c r="J3" s="82">
        <f>I3/I4</f>
        <v>1.3643147967638918</v>
      </c>
      <c r="L3" s="63" t="s">
        <v>86</v>
      </c>
      <c r="M3" s="48" t="s">
        <v>87</v>
      </c>
      <c r="N3" s="96">
        <v>4946892593</v>
      </c>
      <c r="O3" s="72">
        <v>1.29</v>
      </c>
    </row>
    <row r="4" spans="2:15" ht="15.75" x14ac:dyDescent="0.25">
      <c r="B4" s="69"/>
      <c r="C4" s="29" t="s">
        <v>88</v>
      </c>
      <c r="D4" s="39">
        <v>3695948051</v>
      </c>
      <c r="E4" s="73"/>
      <c r="G4" s="69"/>
      <c r="H4" s="29" t="s">
        <v>88</v>
      </c>
      <c r="I4" s="39">
        <f>+Hoja1!D84</f>
        <v>2886583689</v>
      </c>
      <c r="J4" s="83"/>
      <c r="L4" s="45"/>
      <c r="M4" s="29" t="s">
        <v>88</v>
      </c>
      <c r="N4" s="97">
        <v>3826639723</v>
      </c>
      <c r="O4" s="73"/>
    </row>
    <row r="5" spans="2:15" ht="15.75" x14ac:dyDescent="0.25">
      <c r="B5" s="43"/>
      <c r="C5" s="30"/>
      <c r="G5" s="43"/>
      <c r="H5" s="30"/>
      <c r="L5" s="43"/>
      <c r="M5" s="30"/>
    </row>
    <row r="6" spans="2:15" ht="15.75" x14ac:dyDescent="0.25">
      <c r="B6" s="68" t="s">
        <v>89</v>
      </c>
      <c r="C6" s="48" t="s">
        <v>81</v>
      </c>
      <c r="D6" s="41" t="s">
        <v>83</v>
      </c>
      <c r="E6" s="72" t="s">
        <v>133</v>
      </c>
      <c r="G6" s="68" t="s">
        <v>89</v>
      </c>
      <c r="H6" s="48" t="s">
        <v>81</v>
      </c>
      <c r="I6" s="106" t="s">
        <v>152</v>
      </c>
      <c r="J6" s="82">
        <f>+(Hoja1!D69-Hoja1!D67)/Hoja1!D84</f>
        <v>0.6399813624111419</v>
      </c>
      <c r="L6" s="63" t="s">
        <v>89</v>
      </c>
      <c r="M6" s="48" t="s">
        <v>81</v>
      </c>
      <c r="N6" s="98" t="s">
        <v>144</v>
      </c>
      <c r="O6" s="72">
        <v>0.71</v>
      </c>
    </row>
    <row r="7" spans="2:15" ht="15.75" x14ac:dyDescent="0.25">
      <c r="B7" s="69"/>
      <c r="C7" s="29" t="s">
        <v>88</v>
      </c>
      <c r="D7" s="39">
        <v>3695948051</v>
      </c>
      <c r="E7" s="73"/>
      <c r="G7" s="69"/>
      <c r="H7" s="29" t="s">
        <v>88</v>
      </c>
      <c r="I7" s="105">
        <v>2886583689</v>
      </c>
      <c r="J7" s="83"/>
      <c r="L7" s="45"/>
      <c r="M7" s="29" t="s">
        <v>88</v>
      </c>
      <c r="N7" s="97">
        <v>3826639723</v>
      </c>
      <c r="O7" s="73"/>
    </row>
    <row r="8" spans="2:15" ht="15.75" x14ac:dyDescent="0.25">
      <c r="B8" s="44"/>
      <c r="C8" s="31"/>
      <c r="G8" s="44"/>
      <c r="H8" s="31"/>
      <c r="L8" s="44"/>
      <c r="M8" s="31"/>
    </row>
    <row r="9" spans="2:15" ht="49.5" customHeight="1" x14ac:dyDescent="0.25">
      <c r="B9" s="68" t="s">
        <v>90</v>
      </c>
      <c r="C9" s="70" t="s">
        <v>91</v>
      </c>
      <c r="D9" s="62" t="s">
        <v>131</v>
      </c>
      <c r="E9" s="74">
        <v>1112260788</v>
      </c>
      <c r="G9" s="68" t="s">
        <v>90</v>
      </c>
      <c r="H9" s="70" t="s">
        <v>91</v>
      </c>
      <c r="I9" s="107" t="s">
        <v>153</v>
      </c>
      <c r="J9" s="100">
        <f>+Hoja1!D69-Hoja1!D84</f>
        <v>1051625150</v>
      </c>
      <c r="L9" s="63" t="s">
        <v>90</v>
      </c>
      <c r="M9" s="64" t="s">
        <v>91</v>
      </c>
      <c r="N9" s="99" t="s">
        <v>145</v>
      </c>
      <c r="O9" s="100">
        <v>1120252870</v>
      </c>
    </row>
    <row r="10" spans="2:15" ht="15.75" x14ac:dyDescent="0.25">
      <c r="B10" s="69"/>
      <c r="C10" s="71"/>
      <c r="D10" s="9"/>
      <c r="E10" s="75"/>
      <c r="G10" s="69"/>
      <c r="H10" s="71"/>
      <c r="I10" s="9"/>
      <c r="J10" s="102"/>
      <c r="L10" s="45"/>
      <c r="M10" s="65"/>
      <c r="N10" s="101"/>
      <c r="O10" s="102"/>
    </row>
    <row r="11" spans="2:15" ht="15.75" x14ac:dyDescent="0.25">
      <c r="B11" s="46"/>
      <c r="C11" s="32"/>
      <c r="D11" s="9"/>
      <c r="G11" s="46"/>
      <c r="H11" s="32"/>
      <c r="I11" s="9"/>
      <c r="L11" s="46"/>
      <c r="M11" s="32"/>
    </row>
    <row r="12" spans="2:15" ht="15.75" x14ac:dyDescent="0.25">
      <c r="B12" s="33"/>
      <c r="C12" s="34"/>
      <c r="G12" s="33"/>
      <c r="H12" s="34"/>
      <c r="L12" s="46"/>
      <c r="M12" s="32"/>
    </row>
    <row r="13" spans="2:15" ht="15.75" x14ac:dyDescent="0.25">
      <c r="B13" s="35"/>
      <c r="C13" s="36"/>
      <c r="G13" s="35"/>
      <c r="H13" s="36"/>
    </row>
    <row r="14" spans="2:15" ht="15.75" x14ac:dyDescent="0.25">
      <c r="B14" s="31"/>
      <c r="C14" s="31"/>
      <c r="G14" s="31"/>
      <c r="H14" s="31"/>
      <c r="L14" s="59" t="s">
        <v>146</v>
      </c>
      <c r="M14" s="57" t="s">
        <v>85</v>
      </c>
      <c r="N14" s="58"/>
    </row>
    <row r="15" spans="2:15" ht="15.75" x14ac:dyDescent="0.25">
      <c r="B15" s="59" t="s">
        <v>92</v>
      </c>
      <c r="C15" s="57" t="s">
        <v>85</v>
      </c>
      <c r="D15" s="58"/>
      <c r="G15" s="59" t="s">
        <v>92</v>
      </c>
      <c r="H15" s="57" t="s">
        <v>85</v>
      </c>
      <c r="I15" s="58"/>
      <c r="L15" s="68" t="s">
        <v>93</v>
      </c>
      <c r="M15" s="48" t="s">
        <v>94</v>
      </c>
      <c r="N15" s="60">
        <v>6810784984</v>
      </c>
      <c r="O15" s="72" t="s">
        <v>139</v>
      </c>
    </row>
    <row r="16" spans="2:15" ht="15.75" x14ac:dyDescent="0.25">
      <c r="B16" s="68" t="s">
        <v>93</v>
      </c>
      <c r="C16" s="48" t="s">
        <v>94</v>
      </c>
      <c r="D16" s="60">
        <v>6810784984</v>
      </c>
      <c r="E16" s="72" t="s">
        <v>139</v>
      </c>
      <c r="G16" s="68" t="s">
        <v>93</v>
      </c>
      <c r="H16" s="48" t="s">
        <v>94</v>
      </c>
      <c r="I16" s="60">
        <f>+Hoja1!D91</f>
        <v>6151420622</v>
      </c>
      <c r="J16" s="82">
        <f>I16/I17</f>
        <v>0.45753588750221419</v>
      </c>
      <c r="L16" s="69"/>
      <c r="M16" s="29" t="s">
        <v>95</v>
      </c>
      <c r="N16" s="39">
        <v>14014673500</v>
      </c>
      <c r="O16" s="73"/>
    </row>
    <row r="17" spans="2:15" ht="15.75" x14ac:dyDescent="0.25">
      <c r="B17" s="69"/>
      <c r="C17" s="29" t="s">
        <v>95</v>
      </c>
      <c r="D17" s="39">
        <v>14014673500</v>
      </c>
      <c r="E17" s="73"/>
      <c r="G17" s="69"/>
      <c r="H17" s="29" t="s">
        <v>95</v>
      </c>
      <c r="I17" s="39">
        <f>+Hoja1!D76</f>
        <v>13444673500</v>
      </c>
      <c r="J17" s="83"/>
      <c r="L17" s="43"/>
      <c r="M17" s="30"/>
    </row>
    <row r="18" spans="2:15" ht="15.75" x14ac:dyDescent="0.25">
      <c r="B18" s="43"/>
      <c r="C18" s="30"/>
      <c r="G18" s="43"/>
      <c r="H18" s="30"/>
      <c r="J18" s="47"/>
      <c r="L18" s="68" t="s">
        <v>96</v>
      </c>
      <c r="M18" s="48" t="s">
        <v>94</v>
      </c>
      <c r="N18" s="60">
        <v>6810784984</v>
      </c>
      <c r="O18" s="72" t="s">
        <v>140</v>
      </c>
    </row>
    <row r="19" spans="2:15" ht="15.75" x14ac:dyDescent="0.25">
      <c r="B19" s="68" t="s">
        <v>96</v>
      </c>
      <c r="C19" s="48" t="s">
        <v>94</v>
      </c>
      <c r="D19" s="60">
        <v>6810784984</v>
      </c>
      <c r="E19" s="72" t="s">
        <v>140</v>
      </c>
      <c r="G19" s="68" t="s">
        <v>96</v>
      </c>
      <c r="H19" s="48" t="s">
        <v>94</v>
      </c>
      <c r="I19" s="60">
        <f>+Hoja1!D91</f>
        <v>6151420622</v>
      </c>
      <c r="J19" s="82">
        <f>I19/I20</f>
        <v>0.84343991972546384</v>
      </c>
      <c r="L19" s="69"/>
      <c r="M19" s="29" t="s">
        <v>74</v>
      </c>
      <c r="N19" s="39">
        <v>7203888516</v>
      </c>
      <c r="O19" s="73"/>
    </row>
    <row r="20" spans="2:15" ht="15.75" x14ac:dyDescent="0.25">
      <c r="B20" s="69"/>
      <c r="C20" s="29" t="s">
        <v>74</v>
      </c>
      <c r="D20" s="39">
        <v>7203888516</v>
      </c>
      <c r="E20" s="73"/>
      <c r="G20" s="69"/>
      <c r="H20" s="29" t="s">
        <v>74</v>
      </c>
      <c r="I20" s="39">
        <f>+Hoja1!D98</f>
        <v>7293252878.0500002</v>
      </c>
      <c r="J20" s="83"/>
      <c r="L20" s="44"/>
      <c r="M20" s="31"/>
    </row>
    <row r="21" spans="2:15" ht="15.75" x14ac:dyDescent="0.25">
      <c r="B21" s="44"/>
      <c r="C21" s="31"/>
      <c r="G21" s="44"/>
      <c r="H21" s="31"/>
      <c r="J21" s="47"/>
      <c r="L21" s="68" t="s">
        <v>97</v>
      </c>
      <c r="M21" s="48" t="s">
        <v>88</v>
      </c>
      <c r="N21" s="60">
        <v>3695948051</v>
      </c>
      <c r="O21" s="72" t="s">
        <v>134</v>
      </c>
    </row>
    <row r="22" spans="2:15" ht="15.75" x14ac:dyDescent="0.25">
      <c r="B22" s="68" t="s">
        <v>97</v>
      </c>
      <c r="C22" s="48" t="s">
        <v>88</v>
      </c>
      <c r="D22" s="60">
        <v>3695948051</v>
      </c>
      <c r="E22" s="72" t="s">
        <v>134</v>
      </c>
      <c r="G22" s="68" t="s">
        <v>97</v>
      </c>
      <c r="H22" s="48" t="s">
        <v>88</v>
      </c>
      <c r="I22" s="60">
        <f>+Hoja1!D84</f>
        <v>2886583689</v>
      </c>
      <c r="J22" s="82">
        <f>I22/I23</f>
        <v>0.46925480573973338</v>
      </c>
      <c r="L22" s="69"/>
      <c r="M22" s="29" t="s">
        <v>94</v>
      </c>
      <c r="N22" s="39">
        <v>6810784984</v>
      </c>
      <c r="O22" s="73"/>
    </row>
    <row r="23" spans="2:15" ht="15.75" x14ac:dyDescent="0.25">
      <c r="B23" s="69"/>
      <c r="C23" s="29" t="s">
        <v>94</v>
      </c>
      <c r="D23" s="39">
        <v>6810784984</v>
      </c>
      <c r="E23" s="73"/>
      <c r="G23" s="69"/>
      <c r="H23" s="29" t="s">
        <v>94</v>
      </c>
      <c r="I23" s="39">
        <f>+Hoja1!D91</f>
        <v>6151420622</v>
      </c>
      <c r="J23" s="83"/>
      <c r="L23" s="44"/>
      <c r="M23" s="31"/>
    </row>
    <row r="24" spans="2:15" ht="15.75" x14ac:dyDescent="0.25">
      <c r="B24" s="44"/>
      <c r="C24" s="31"/>
      <c r="G24" s="44"/>
      <c r="H24" s="31"/>
      <c r="J24" s="47"/>
      <c r="L24" s="68" t="s">
        <v>98</v>
      </c>
      <c r="M24" s="48" t="s">
        <v>99</v>
      </c>
      <c r="N24" s="60">
        <v>3114836933</v>
      </c>
      <c r="O24" s="72" t="s">
        <v>133</v>
      </c>
    </row>
    <row r="25" spans="2:15" ht="15.75" x14ac:dyDescent="0.25">
      <c r="B25" s="68" t="s">
        <v>98</v>
      </c>
      <c r="C25" s="48" t="s">
        <v>99</v>
      </c>
      <c r="D25" s="60">
        <v>3114836933</v>
      </c>
      <c r="E25" s="72" t="s">
        <v>133</v>
      </c>
      <c r="G25" s="68" t="s">
        <v>98</v>
      </c>
      <c r="H25" s="48" t="s">
        <v>99</v>
      </c>
      <c r="I25" s="60">
        <f>+Hoja1!D90</f>
        <v>3264836933</v>
      </c>
      <c r="J25" s="82">
        <f>I25/I26</f>
        <v>0.53074519426026656</v>
      </c>
      <c r="L25" s="69"/>
      <c r="M25" s="29" t="s">
        <v>94</v>
      </c>
      <c r="N25" s="39">
        <v>6810784984</v>
      </c>
      <c r="O25" s="73"/>
    </row>
    <row r="26" spans="2:15" ht="15.75" x14ac:dyDescent="0.25">
      <c r="B26" s="69"/>
      <c r="C26" s="29" t="s">
        <v>94</v>
      </c>
      <c r="D26" s="39">
        <v>6810784984</v>
      </c>
      <c r="E26" s="73"/>
      <c r="G26" s="69"/>
      <c r="H26" s="29" t="s">
        <v>94</v>
      </c>
      <c r="I26" s="39">
        <f>+Hoja1!D91</f>
        <v>6151420622</v>
      </c>
      <c r="J26" s="83"/>
      <c r="L26" s="43"/>
      <c r="M26" s="30"/>
    </row>
    <row r="27" spans="2:15" ht="15.75" x14ac:dyDescent="0.25">
      <c r="B27" s="43"/>
      <c r="C27" s="30"/>
      <c r="G27" s="43"/>
      <c r="H27" s="30"/>
      <c r="J27" s="47"/>
      <c r="L27" s="68" t="s">
        <v>100</v>
      </c>
      <c r="M27" s="48" t="s">
        <v>101</v>
      </c>
      <c r="N27" s="60">
        <v>3354414430</v>
      </c>
      <c r="O27" s="72" t="s">
        <v>141</v>
      </c>
    </row>
    <row r="28" spans="2:15" ht="15.75" x14ac:dyDescent="0.25">
      <c r="B28" s="68" t="s">
        <v>100</v>
      </c>
      <c r="C28" s="48" t="s">
        <v>101</v>
      </c>
      <c r="D28" s="60">
        <v>3354414430</v>
      </c>
      <c r="E28" s="72" t="s">
        <v>141</v>
      </c>
      <c r="G28" s="68" t="s">
        <v>100</v>
      </c>
      <c r="H28" s="48" t="s">
        <v>101</v>
      </c>
      <c r="I28" s="60">
        <f>+Hoja1!D86+Hoja1!D79</f>
        <v>3654414430</v>
      </c>
      <c r="J28" s="82">
        <f>I28/I29</f>
        <v>0.50106783503948404</v>
      </c>
      <c r="L28" s="69"/>
      <c r="M28" s="29" t="s">
        <v>74</v>
      </c>
      <c r="N28" s="39">
        <v>7203888516</v>
      </c>
      <c r="O28" s="73"/>
    </row>
    <row r="29" spans="2:15" ht="15.75" x14ac:dyDescent="0.25">
      <c r="B29" s="69"/>
      <c r="C29" s="29" t="s">
        <v>74</v>
      </c>
      <c r="D29" s="39">
        <v>7203888516</v>
      </c>
      <c r="E29" s="73"/>
      <c r="G29" s="69"/>
      <c r="H29" s="29" t="s">
        <v>74</v>
      </c>
      <c r="I29" s="39">
        <f>+Hoja1!D98</f>
        <v>7293252878.0500002</v>
      </c>
      <c r="J29" s="83"/>
      <c r="L29" s="43"/>
      <c r="M29" s="30"/>
    </row>
    <row r="30" spans="2:15" ht="15.75" x14ac:dyDescent="0.25">
      <c r="B30" s="43"/>
      <c r="C30" s="30"/>
      <c r="G30" s="43"/>
      <c r="H30" s="30"/>
      <c r="J30" s="47"/>
      <c r="L30" s="68" t="s">
        <v>102</v>
      </c>
      <c r="M30" s="48" t="s">
        <v>94</v>
      </c>
      <c r="N30" s="60">
        <v>6810784984</v>
      </c>
      <c r="O30" s="72" t="s">
        <v>140</v>
      </c>
    </row>
    <row r="31" spans="2:15" ht="15.75" x14ac:dyDescent="0.25">
      <c r="B31" s="68" t="s">
        <v>102</v>
      </c>
      <c r="C31" s="48" t="s">
        <v>94</v>
      </c>
      <c r="D31" s="60">
        <v>6810784984</v>
      </c>
      <c r="E31" s="72" t="s">
        <v>140</v>
      </c>
      <c r="G31" s="68" t="s">
        <v>102</v>
      </c>
      <c r="H31" s="48" t="s">
        <v>94</v>
      </c>
      <c r="I31" s="60">
        <f>+Hoja1!D91</f>
        <v>6151420622</v>
      </c>
      <c r="J31" s="82">
        <f>I31/I32</f>
        <v>0.84343991972546384</v>
      </c>
      <c r="L31" s="69"/>
      <c r="M31" s="29" t="s">
        <v>74</v>
      </c>
      <c r="N31" s="39">
        <v>7203888516</v>
      </c>
      <c r="O31" s="73"/>
    </row>
    <row r="32" spans="2:15" ht="15.75" x14ac:dyDescent="0.25">
      <c r="B32" s="69"/>
      <c r="C32" s="29" t="s">
        <v>74</v>
      </c>
      <c r="D32" s="39">
        <v>7203888516</v>
      </c>
      <c r="E32" s="73"/>
      <c r="G32" s="69"/>
      <c r="H32" s="29" t="s">
        <v>74</v>
      </c>
      <c r="I32" s="39">
        <f>+Hoja1!D98</f>
        <v>7293252878.0500002</v>
      </c>
      <c r="J32" s="83"/>
      <c r="L32" s="45"/>
      <c r="M32" s="29"/>
      <c r="N32" s="9"/>
    </row>
    <row r="33" spans="2:15" ht="15.75" x14ac:dyDescent="0.25">
      <c r="B33" s="45"/>
      <c r="C33" s="29"/>
      <c r="D33" s="9"/>
      <c r="G33" s="45"/>
      <c r="H33" s="29"/>
      <c r="I33" s="9"/>
      <c r="L33" s="37"/>
      <c r="M33" s="38"/>
    </row>
    <row r="34" spans="2:15" ht="15.75" x14ac:dyDescent="0.25">
      <c r="B34" s="37"/>
      <c r="C34" s="38"/>
      <c r="G34" s="37"/>
      <c r="H34" s="38"/>
      <c r="L34" s="37"/>
      <c r="M34" s="30"/>
    </row>
    <row r="35" spans="2:15" ht="15.75" x14ac:dyDescent="0.25">
      <c r="B35" s="37"/>
      <c r="C35" s="30"/>
      <c r="G35" s="37"/>
      <c r="H35" s="30"/>
      <c r="L35" s="31"/>
      <c r="M35" s="31"/>
    </row>
    <row r="36" spans="2:15" ht="15.75" x14ac:dyDescent="0.25">
      <c r="B36" s="31"/>
      <c r="C36" s="31"/>
      <c r="G36" s="31"/>
      <c r="H36" s="31"/>
      <c r="L36" s="56" t="s">
        <v>103</v>
      </c>
      <c r="M36" s="57" t="s">
        <v>85</v>
      </c>
      <c r="N36" s="58"/>
    </row>
    <row r="37" spans="2:15" ht="15.75" x14ac:dyDescent="0.25">
      <c r="B37" s="56" t="s">
        <v>103</v>
      </c>
      <c r="C37" s="57" t="s">
        <v>85</v>
      </c>
      <c r="D37" s="58"/>
      <c r="G37" s="56" t="s">
        <v>103</v>
      </c>
      <c r="H37" s="57" t="s">
        <v>85</v>
      </c>
      <c r="I37" s="58"/>
      <c r="L37" s="68" t="s">
        <v>104</v>
      </c>
      <c r="M37" s="48" t="s">
        <v>105</v>
      </c>
      <c r="N37" s="41">
        <v>145440362</v>
      </c>
      <c r="O37" s="72">
        <v>4.84</v>
      </c>
    </row>
    <row r="38" spans="2:15" ht="15.75" x14ac:dyDescent="0.25">
      <c r="B38" s="68" t="s">
        <v>104</v>
      </c>
      <c r="C38" s="48" t="s">
        <v>105</v>
      </c>
      <c r="D38" s="41">
        <v>145440362</v>
      </c>
      <c r="E38" s="84">
        <f>+D38/D39</f>
        <v>4.8480120666666666</v>
      </c>
      <c r="G38" s="68" t="s">
        <v>104</v>
      </c>
      <c r="H38" s="48" t="s">
        <v>105</v>
      </c>
      <c r="I38" s="41">
        <f>+Hoja1!D53</f>
        <v>234804724.05000001</v>
      </c>
      <c r="J38" s="84">
        <f>+I38/I39</f>
        <v>7.8268241350000007</v>
      </c>
      <c r="L38" s="69"/>
      <c r="M38" s="29" t="s">
        <v>106</v>
      </c>
      <c r="N38" s="40">
        <v>30000000</v>
      </c>
      <c r="O38" s="73"/>
    </row>
    <row r="39" spans="2:15" ht="15.75" x14ac:dyDescent="0.25">
      <c r="B39" s="69"/>
      <c r="C39" s="29" t="s">
        <v>106</v>
      </c>
      <c r="D39" s="40">
        <v>30000000</v>
      </c>
      <c r="E39" s="73"/>
      <c r="G39" s="69"/>
      <c r="H39" s="29" t="s">
        <v>106</v>
      </c>
      <c r="I39" s="40">
        <v>30000000</v>
      </c>
      <c r="J39" s="73"/>
      <c r="L39" s="43"/>
      <c r="M39" s="30"/>
      <c r="N39" s="27"/>
    </row>
    <row r="40" spans="2:15" ht="15.75" x14ac:dyDescent="0.25">
      <c r="B40" s="43"/>
      <c r="C40" s="30"/>
      <c r="D40" s="27"/>
      <c r="G40" s="43"/>
      <c r="H40" s="30"/>
      <c r="I40" s="27"/>
      <c r="L40" s="68" t="s">
        <v>107</v>
      </c>
      <c r="M40" s="48" t="s">
        <v>105</v>
      </c>
      <c r="N40" s="41">
        <v>145440362</v>
      </c>
      <c r="O40" s="72" t="s">
        <v>135</v>
      </c>
    </row>
    <row r="41" spans="2:15" ht="15.75" x14ac:dyDescent="0.25">
      <c r="B41" s="68" t="s">
        <v>107</v>
      </c>
      <c r="C41" s="48" t="s">
        <v>105</v>
      </c>
      <c r="D41" s="41">
        <v>145440362</v>
      </c>
      <c r="E41" s="72" t="s">
        <v>135</v>
      </c>
      <c r="G41" s="68" t="s">
        <v>107</v>
      </c>
      <c r="H41" s="48" t="s">
        <v>105</v>
      </c>
      <c r="I41" s="41">
        <f>+Hoja1!D53</f>
        <v>234804724.05000001</v>
      </c>
      <c r="J41" s="84">
        <f>+I41/I42</f>
        <v>1.7464516639247505E-2</v>
      </c>
      <c r="L41" s="69"/>
      <c r="M41" s="29" t="s">
        <v>108</v>
      </c>
      <c r="N41" s="40">
        <v>14014673500</v>
      </c>
      <c r="O41" s="73"/>
    </row>
    <row r="42" spans="2:15" ht="15.75" x14ac:dyDescent="0.25">
      <c r="B42" s="69"/>
      <c r="C42" s="29" t="s">
        <v>108</v>
      </c>
      <c r="D42" s="40">
        <v>14014673500</v>
      </c>
      <c r="E42" s="73"/>
      <c r="G42" s="69"/>
      <c r="H42" s="29" t="s">
        <v>108</v>
      </c>
      <c r="I42" s="40">
        <f>+Hoja1!D76</f>
        <v>13444673500</v>
      </c>
      <c r="J42" s="85"/>
      <c r="L42" s="44"/>
      <c r="M42" s="31"/>
      <c r="N42" s="27"/>
    </row>
    <row r="43" spans="2:15" ht="15.75" x14ac:dyDescent="0.25">
      <c r="B43" s="44"/>
      <c r="C43" s="31"/>
      <c r="D43" s="27"/>
      <c r="G43" s="44"/>
      <c r="H43" s="31"/>
      <c r="I43" s="27"/>
      <c r="J43" s="26"/>
      <c r="L43" s="68" t="s">
        <v>109</v>
      </c>
      <c r="M43" s="48" t="s">
        <v>105</v>
      </c>
      <c r="N43" s="41">
        <v>145440362</v>
      </c>
      <c r="O43" s="72" t="s">
        <v>136</v>
      </c>
    </row>
    <row r="44" spans="2:15" ht="15.75" x14ac:dyDescent="0.25">
      <c r="B44" s="68" t="s">
        <v>109</v>
      </c>
      <c r="C44" s="48" t="s">
        <v>105</v>
      </c>
      <c r="D44" s="41">
        <v>145440362</v>
      </c>
      <c r="E44" s="72" t="s">
        <v>136</v>
      </c>
      <c r="G44" s="68" t="s">
        <v>109</v>
      </c>
      <c r="H44" s="48" t="s">
        <v>105</v>
      </c>
      <c r="I44" s="41">
        <f>+Hoja1!D53</f>
        <v>234804724.05000001</v>
      </c>
      <c r="J44" s="84">
        <f>I44/I45</f>
        <v>3.2194787151378718E-2</v>
      </c>
      <c r="L44" s="69"/>
      <c r="M44" s="29" t="s">
        <v>74</v>
      </c>
      <c r="N44" s="39">
        <v>7203888516</v>
      </c>
      <c r="O44" s="73"/>
    </row>
    <row r="45" spans="2:15" ht="15.75" x14ac:dyDescent="0.25">
      <c r="B45" s="69"/>
      <c r="C45" s="29" t="s">
        <v>74</v>
      </c>
      <c r="D45" s="39">
        <v>7203888516</v>
      </c>
      <c r="E45" s="73"/>
      <c r="G45" s="69"/>
      <c r="H45" s="29" t="s">
        <v>74</v>
      </c>
      <c r="I45" s="39">
        <f>+Hoja1!D98</f>
        <v>7293252878.0500002</v>
      </c>
      <c r="J45" s="85"/>
      <c r="L45" s="44"/>
      <c r="M45" s="31"/>
      <c r="N45" s="27"/>
    </row>
    <row r="46" spans="2:15" ht="15.75" x14ac:dyDescent="0.25">
      <c r="B46" s="44"/>
      <c r="C46" s="31"/>
      <c r="D46" s="27"/>
      <c r="G46" s="44"/>
      <c r="H46" s="31"/>
      <c r="I46" s="27"/>
      <c r="J46" s="26"/>
      <c r="L46" s="68" t="s">
        <v>110</v>
      </c>
      <c r="M46" s="48" t="s">
        <v>111</v>
      </c>
      <c r="N46" s="41">
        <v>1895176666</v>
      </c>
      <c r="O46" s="72" t="s">
        <v>137</v>
      </c>
    </row>
    <row r="47" spans="2:15" ht="15.75" x14ac:dyDescent="0.25">
      <c r="B47" s="68" t="s">
        <v>110</v>
      </c>
      <c r="C47" s="48" t="s">
        <v>111</v>
      </c>
      <c r="D47" s="41">
        <v>1895176666</v>
      </c>
      <c r="E47" s="72" t="s">
        <v>137</v>
      </c>
      <c r="G47" s="68" t="s">
        <v>110</v>
      </c>
      <c r="H47" s="48" t="s">
        <v>111</v>
      </c>
      <c r="I47" s="41">
        <f>+Hoja1!D14</f>
        <v>1895176666</v>
      </c>
      <c r="J47" s="84">
        <f>I47/I48</f>
        <v>0.15652442363333485</v>
      </c>
      <c r="L47" s="69"/>
      <c r="M47" s="29" t="s">
        <v>112</v>
      </c>
      <c r="N47" s="40">
        <v>12107865482</v>
      </c>
      <c r="O47" s="73"/>
    </row>
    <row r="48" spans="2:15" ht="15.75" x14ac:dyDescent="0.25">
      <c r="B48" s="69"/>
      <c r="C48" s="29" t="s">
        <v>112</v>
      </c>
      <c r="D48" s="40">
        <v>12107865482</v>
      </c>
      <c r="E48" s="73"/>
      <c r="G48" s="69"/>
      <c r="H48" s="29" t="s">
        <v>112</v>
      </c>
      <c r="I48" s="40">
        <f>+Hoja1!D9</f>
        <v>12107865482</v>
      </c>
      <c r="J48" s="85"/>
      <c r="L48" s="43"/>
      <c r="M48" s="30"/>
      <c r="N48" s="27"/>
    </row>
    <row r="49" spans="2:15" ht="15.75" x14ac:dyDescent="0.25">
      <c r="B49" s="43"/>
      <c r="C49" s="30"/>
      <c r="D49" s="27"/>
      <c r="G49" s="43"/>
      <c r="H49" s="30"/>
      <c r="I49" s="27"/>
      <c r="J49" s="26"/>
      <c r="L49" s="68" t="s">
        <v>113</v>
      </c>
      <c r="M49" s="48" t="s">
        <v>114</v>
      </c>
      <c r="N49" s="41">
        <v>579423395</v>
      </c>
      <c r="O49" s="72" t="s">
        <v>138</v>
      </c>
    </row>
    <row r="50" spans="2:15" ht="15.75" x14ac:dyDescent="0.25">
      <c r="B50" s="68" t="s">
        <v>113</v>
      </c>
      <c r="C50" s="48" t="s">
        <v>114</v>
      </c>
      <c r="D50" s="41">
        <v>579423395</v>
      </c>
      <c r="E50" s="72" t="s">
        <v>138</v>
      </c>
      <c r="G50" s="68" t="s">
        <v>113</v>
      </c>
      <c r="H50" s="48" t="s">
        <v>114</v>
      </c>
      <c r="I50" s="41">
        <f>+Hoja1!D38</f>
        <v>716907029</v>
      </c>
      <c r="J50" s="84">
        <f>I50/I51</f>
        <v>5.9210025917927518E-2</v>
      </c>
      <c r="L50" s="69"/>
      <c r="M50" s="29" t="s">
        <v>112</v>
      </c>
      <c r="N50" s="40">
        <v>12107865482</v>
      </c>
      <c r="O50" s="73"/>
    </row>
    <row r="51" spans="2:15" ht="15.75" x14ac:dyDescent="0.25">
      <c r="B51" s="69"/>
      <c r="C51" s="29" t="s">
        <v>112</v>
      </c>
      <c r="D51" s="40">
        <v>12107865482</v>
      </c>
      <c r="E51" s="73"/>
      <c r="G51" s="69"/>
      <c r="H51" s="29" t="s">
        <v>112</v>
      </c>
      <c r="I51" s="40">
        <f>+Hoja1!D9</f>
        <v>12107865482</v>
      </c>
      <c r="J51" s="85"/>
      <c r="L51" s="43"/>
      <c r="M51" s="30"/>
      <c r="N51" s="27"/>
    </row>
    <row r="52" spans="2:15" ht="15.75" x14ac:dyDescent="0.25">
      <c r="B52" s="43"/>
      <c r="C52" s="30"/>
      <c r="D52" s="27"/>
      <c r="G52" s="43"/>
      <c r="H52" s="30"/>
      <c r="I52" s="27"/>
      <c r="J52" s="26"/>
      <c r="L52" s="68" t="s">
        <v>115</v>
      </c>
      <c r="M52" s="48" t="s">
        <v>116</v>
      </c>
      <c r="N52" s="41">
        <v>223754403</v>
      </c>
      <c r="O52" s="72" t="s">
        <v>136</v>
      </c>
    </row>
    <row r="53" spans="2:15" ht="15.75" x14ac:dyDescent="0.25">
      <c r="B53" s="68" t="s">
        <v>115</v>
      </c>
      <c r="C53" s="48" t="s">
        <v>116</v>
      </c>
      <c r="D53" s="41">
        <v>223754403</v>
      </c>
      <c r="E53" s="72" t="s">
        <v>136</v>
      </c>
      <c r="G53" s="68" t="s">
        <v>115</v>
      </c>
      <c r="H53" s="48" t="s">
        <v>116</v>
      </c>
      <c r="I53" s="41">
        <f>+Hoja1!D51</f>
        <v>361238037</v>
      </c>
      <c r="J53" s="84">
        <f>I53/I54</f>
        <v>2.9834989291632766E-2</v>
      </c>
      <c r="L53" s="69"/>
      <c r="M53" s="29" t="s">
        <v>112</v>
      </c>
      <c r="N53" s="40">
        <v>12107865482</v>
      </c>
      <c r="O53" s="73"/>
    </row>
    <row r="54" spans="2:15" ht="15.75" x14ac:dyDescent="0.25">
      <c r="B54" s="69"/>
      <c r="C54" s="29" t="s">
        <v>112</v>
      </c>
      <c r="D54" s="40">
        <v>12107865482</v>
      </c>
      <c r="E54" s="73"/>
      <c r="G54" s="69"/>
      <c r="H54" s="29" t="s">
        <v>112</v>
      </c>
      <c r="I54" s="40">
        <f>+Hoja1!D9</f>
        <v>12107865482</v>
      </c>
      <c r="J54" s="85"/>
      <c r="L54" s="45"/>
      <c r="M54" s="29"/>
      <c r="N54" s="40"/>
    </row>
    <row r="55" spans="2:15" ht="15.75" x14ac:dyDescent="0.25">
      <c r="B55" s="45"/>
      <c r="C55" s="29"/>
      <c r="D55" s="40"/>
      <c r="G55" s="45"/>
      <c r="H55" s="29"/>
      <c r="I55" s="40"/>
      <c r="L55" s="36"/>
      <c r="M55" s="36"/>
      <c r="N55" s="27"/>
    </row>
    <row r="56" spans="2:15" ht="15.75" x14ac:dyDescent="0.25">
      <c r="B56" s="36"/>
      <c r="C56" s="36"/>
      <c r="D56" s="27"/>
      <c r="G56" s="36"/>
      <c r="H56" s="36"/>
      <c r="I56" s="27"/>
      <c r="L56" s="31"/>
      <c r="M56" s="31"/>
      <c r="N56" s="27"/>
    </row>
    <row r="57" spans="2:15" ht="15.75" x14ac:dyDescent="0.25">
      <c r="B57" s="31"/>
      <c r="C57" s="31"/>
      <c r="D57" s="27"/>
      <c r="G57" s="31"/>
      <c r="H57" s="31"/>
      <c r="I57" s="27"/>
      <c r="L57" s="42" t="s">
        <v>117</v>
      </c>
      <c r="M57" s="28" t="s">
        <v>85</v>
      </c>
      <c r="N57" s="41"/>
      <c r="O57" s="15"/>
    </row>
    <row r="58" spans="2:15" ht="15.75" x14ac:dyDescent="0.25">
      <c r="B58" s="42" t="s">
        <v>117</v>
      </c>
      <c r="C58" s="28" t="s">
        <v>85</v>
      </c>
      <c r="D58" s="41"/>
      <c r="E58" s="15"/>
      <c r="G58" s="42" t="s">
        <v>117</v>
      </c>
      <c r="H58" s="28" t="s">
        <v>85</v>
      </c>
      <c r="I58" s="41"/>
      <c r="J58" s="15"/>
      <c r="L58" s="68" t="s">
        <v>118</v>
      </c>
      <c r="M58" s="48" t="s">
        <v>119</v>
      </c>
      <c r="N58" s="49">
        <f>+'Analisis Vertical '!H14</f>
        <v>17057863405</v>
      </c>
      <c r="O58" s="76">
        <f>+N58/N59</f>
        <v>10.627101983847929</v>
      </c>
    </row>
    <row r="59" spans="2:15" ht="15.75" x14ac:dyDescent="0.25">
      <c r="B59" s="68" t="s">
        <v>118</v>
      </c>
      <c r="C59" s="48" t="s">
        <v>119</v>
      </c>
      <c r="D59" s="49">
        <f>+'Analisis Vertical '!E14</f>
        <v>10212688816</v>
      </c>
      <c r="E59" s="76">
        <f>+D59/D60</f>
        <v>9.2120056166776543</v>
      </c>
      <c r="G59" s="68" t="s">
        <v>118</v>
      </c>
      <c r="H59" s="48" t="s">
        <v>119</v>
      </c>
      <c r="I59" s="49">
        <f>+Hoja1!D11+Hoja1!D12</f>
        <v>10212688816</v>
      </c>
      <c r="J59" s="76">
        <f>+I59/I60</f>
        <v>9.9607338033822899</v>
      </c>
      <c r="L59" s="69"/>
      <c r="M59" s="29" t="s">
        <v>120</v>
      </c>
      <c r="N59" s="50">
        <f>+('Analisis Vertical '!H66+Hoja3!N58)/12</f>
        <v>1605128418.9166667</v>
      </c>
      <c r="O59" s="77"/>
    </row>
    <row r="60" spans="2:15" ht="15.75" x14ac:dyDescent="0.25">
      <c r="B60" s="69"/>
      <c r="C60" s="29" t="s">
        <v>120</v>
      </c>
      <c r="D60" s="50">
        <f>(3090849077+D59)/12</f>
        <v>1108628157.75</v>
      </c>
      <c r="E60" s="77"/>
      <c r="G60" s="69"/>
      <c r="H60" s="29" t="s">
        <v>120</v>
      </c>
      <c r="I60" s="50">
        <f>+(Hoja1!D67+I59)/12</f>
        <v>1025294824.4166666</v>
      </c>
      <c r="J60" s="77"/>
      <c r="L60" s="43"/>
      <c r="M60" s="30"/>
      <c r="N60" s="27"/>
      <c r="O60" s="2"/>
    </row>
    <row r="61" spans="2:15" ht="15.75" x14ac:dyDescent="0.25">
      <c r="B61" s="43"/>
      <c r="C61" s="30"/>
      <c r="D61" s="27"/>
      <c r="E61" s="2"/>
      <c r="G61" s="43"/>
      <c r="H61" s="30"/>
      <c r="I61" s="27"/>
      <c r="J61" s="2"/>
      <c r="L61" s="51" t="s">
        <v>121</v>
      </c>
      <c r="M61" s="52" t="s">
        <v>122</v>
      </c>
      <c r="N61" s="53">
        <v>360</v>
      </c>
      <c r="O61" s="54">
        <f>+N61/O58</f>
        <v>33.875651193256822</v>
      </c>
    </row>
    <row r="62" spans="2:15" ht="15.75" x14ac:dyDescent="0.25">
      <c r="B62" s="51" t="s">
        <v>121</v>
      </c>
      <c r="C62" s="52" t="s">
        <v>122</v>
      </c>
      <c r="D62" s="53">
        <v>360</v>
      </c>
      <c r="E62" s="54">
        <f>+D62/E59</f>
        <v>39.079437744615205</v>
      </c>
      <c r="G62" s="51" t="s">
        <v>121</v>
      </c>
      <c r="H62" s="52" t="s">
        <v>122</v>
      </c>
      <c r="I62" s="53">
        <v>360</v>
      </c>
      <c r="J62" s="54">
        <f>+I62/J59</f>
        <v>36.141915556237187</v>
      </c>
      <c r="L62" s="44"/>
      <c r="M62" s="31"/>
      <c r="N62" s="27"/>
      <c r="O62" s="2"/>
    </row>
    <row r="63" spans="2:15" ht="15.75" x14ac:dyDescent="0.25">
      <c r="B63" s="44"/>
      <c r="C63" s="31"/>
      <c r="D63" s="27"/>
      <c r="E63" s="2"/>
      <c r="G63" s="44"/>
      <c r="H63" s="31"/>
      <c r="I63" s="27"/>
      <c r="J63" s="2"/>
      <c r="L63" s="68" t="s">
        <v>123</v>
      </c>
      <c r="M63" s="48" t="s">
        <v>124</v>
      </c>
      <c r="N63" s="41">
        <v>13129391378</v>
      </c>
      <c r="O63" s="78">
        <f>N63/N64</f>
        <v>11.793983955385205</v>
      </c>
    </row>
    <row r="64" spans="2:15" ht="15.75" x14ac:dyDescent="0.25">
      <c r="B64" s="68" t="s">
        <v>123</v>
      </c>
      <c r="C64" s="48" t="s">
        <v>124</v>
      </c>
      <c r="D64" s="41">
        <v>13129391378</v>
      </c>
      <c r="E64" s="78">
        <f>D64/D65</f>
        <v>11.793983955385205</v>
      </c>
      <c r="G64" s="68" t="s">
        <v>123</v>
      </c>
      <c r="H64" s="48" t="s">
        <v>124</v>
      </c>
      <c r="I64" s="41">
        <f>+Hoja1!D7</f>
        <v>13129391378</v>
      </c>
      <c r="J64" s="78">
        <f>I64/I65</f>
        <v>11.793983955385205</v>
      </c>
      <c r="L64" s="69"/>
      <c r="M64" s="29" t="s">
        <v>82</v>
      </c>
      <c r="N64" s="40">
        <v>1113227848</v>
      </c>
      <c r="O64" s="79"/>
    </row>
    <row r="65" spans="2:15" ht="15.75" x14ac:dyDescent="0.25">
      <c r="B65" s="69"/>
      <c r="C65" s="29" t="s">
        <v>82</v>
      </c>
      <c r="D65" s="40">
        <v>1113227848</v>
      </c>
      <c r="E65" s="79"/>
      <c r="G65" s="69"/>
      <c r="H65" s="29" t="s">
        <v>82</v>
      </c>
      <c r="I65" s="40">
        <f>+Hoja1!D65+Hoja1!D71</f>
        <v>1113227848</v>
      </c>
      <c r="J65" s="79"/>
      <c r="L65" s="44"/>
      <c r="M65" s="31"/>
      <c r="N65" s="27"/>
      <c r="O65" s="2"/>
    </row>
    <row r="66" spans="2:15" ht="15.75" x14ac:dyDescent="0.25">
      <c r="B66" s="44"/>
      <c r="C66" s="31"/>
      <c r="D66" s="27"/>
      <c r="E66" s="2"/>
      <c r="G66" s="44"/>
      <c r="H66" s="31"/>
      <c r="I66" s="27"/>
      <c r="J66" s="2"/>
      <c r="L66" s="51" t="s">
        <v>125</v>
      </c>
      <c r="M66" s="52" t="s">
        <v>126</v>
      </c>
      <c r="N66" s="53">
        <v>360</v>
      </c>
      <c r="O66" s="54">
        <f>N66/O63</f>
        <v>30.52403677687062</v>
      </c>
    </row>
    <row r="67" spans="2:15" ht="15.75" x14ac:dyDescent="0.25">
      <c r="B67" s="51" t="s">
        <v>125</v>
      </c>
      <c r="C67" s="52" t="s">
        <v>126</v>
      </c>
      <c r="D67" s="53">
        <v>360</v>
      </c>
      <c r="E67" s="54">
        <f>D67/E64</f>
        <v>30.52403677687062</v>
      </c>
      <c r="G67" s="51" t="s">
        <v>125</v>
      </c>
      <c r="H67" s="52" t="s">
        <v>126</v>
      </c>
      <c r="I67" s="53">
        <v>360</v>
      </c>
      <c r="J67" s="54">
        <f>I67/J64</f>
        <v>30.52403677687062</v>
      </c>
      <c r="L67" s="44"/>
      <c r="M67" s="30"/>
      <c r="N67" s="27"/>
      <c r="O67" s="2"/>
    </row>
    <row r="68" spans="2:15" ht="15.75" x14ac:dyDescent="0.25">
      <c r="B68" s="44"/>
      <c r="C68" s="30"/>
      <c r="D68" s="27"/>
      <c r="E68" s="2"/>
      <c r="G68" s="44"/>
      <c r="H68" s="30"/>
      <c r="I68" s="27"/>
      <c r="J68" s="2"/>
      <c r="L68" s="68" t="s">
        <v>127</v>
      </c>
      <c r="M68" s="48" t="s">
        <v>119</v>
      </c>
      <c r="N68" s="41">
        <v>6968671419</v>
      </c>
      <c r="O68" s="80">
        <f>+N68/N69</f>
        <v>2.3661368619911891</v>
      </c>
    </row>
    <row r="69" spans="2:15" ht="15.75" x14ac:dyDescent="0.25">
      <c r="B69" s="68" t="s">
        <v>127</v>
      </c>
      <c r="C69" s="48" t="s">
        <v>119</v>
      </c>
      <c r="D69" s="41">
        <v>6968671419</v>
      </c>
      <c r="E69" s="80">
        <f>+D69/D70</f>
        <v>2.3661368619911891</v>
      </c>
      <c r="G69" s="68" t="s">
        <v>127</v>
      </c>
      <c r="H69" s="48" t="s">
        <v>119</v>
      </c>
      <c r="I69" s="41">
        <f>+Hoja1!D11</f>
        <v>6968671419</v>
      </c>
      <c r="J69" s="80">
        <f>+I69/I70</f>
        <v>3.5825543772378419</v>
      </c>
      <c r="L69" s="69"/>
      <c r="M69" s="29" t="s">
        <v>128</v>
      </c>
      <c r="N69" s="40">
        <v>2945168359</v>
      </c>
      <c r="O69" s="81"/>
    </row>
    <row r="70" spans="2:15" ht="15.75" x14ac:dyDescent="0.25">
      <c r="B70" s="69"/>
      <c r="C70" s="29" t="s">
        <v>128</v>
      </c>
      <c r="D70" s="40">
        <v>2945168359</v>
      </c>
      <c r="E70" s="81"/>
      <c r="G70" s="69"/>
      <c r="H70" s="29" t="s">
        <v>128</v>
      </c>
      <c r="I70" s="40">
        <f>+Hoja1!D80</f>
        <v>1945168359</v>
      </c>
      <c r="J70" s="81"/>
      <c r="L70" s="44"/>
      <c r="M70" s="31"/>
      <c r="N70" s="27"/>
      <c r="O70" s="2"/>
    </row>
    <row r="71" spans="2:15" ht="15.75" x14ac:dyDescent="0.25">
      <c r="B71" s="44"/>
      <c r="C71" s="31"/>
      <c r="D71" s="27"/>
      <c r="E71" s="2"/>
      <c r="G71" s="44"/>
      <c r="H71" s="31"/>
      <c r="I71" s="27"/>
      <c r="J71" s="2"/>
      <c r="L71" s="51" t="s">
        <v>129</v>
      </c>
      <c r="M71" s="52" t="s">
        <v>130</v>
      </c>
      <c r="N71" s="55">
        <v>360</v>
      </c>
      <c r="O71" s="54">
        <f>+N71/O68</f>
        <v>152.14673579661283</v>
      </c>
    </row>
    <row r="72" spans="2:15" ht="15.75" x14ac:dyDescent="0.25">
      <c r="B72" s="51" t="s">
        <v>129</v>
      </c>
      <c r="C72" s="52" t="s">
        <v>130</v>
      </c>
      <c r="D72" s="55">
        <v>360</v>
      </c>
      <c r="E72" s="54">
        <f>+D72/E69</f>
        <v>152.14673579661283</v>
      </c>
      <c r="G72" s="51" t="s">
        <v>129</v>
      </c>
      <c r="H72" s="52" t="s">
        <v>130</v>
      </c>
      <c r="I72" s="55">
        <v>360</v>
      </c>
      <c r="J72" s="54">
        <f>+I72/J69</f>
        <v>100.48696044568091</v>
      </c>
    </row>
  </sheetData>
  <mergeCells count="110">
    <mergeCell ref="L68:L69"/>
    <mergeCell ref="O68:O69"/>
    <mergeCell ref="L52:L53"/>
    <mergeCell ref="O52:O53"/>
    <mergeCell ref="L58:L59"/>
    <mergeCell ref="O58:O59"/>
    <mergeCell ref="L63:L64"/>
    <mergeCell ref="O63:O64"/>
    <mergeCell ref="L43:L44"/>
    <mergeCell ref="O43:O44"/>
    <mergeCell ref="L46:L47"/>
    <mergeCell ref="O46:O47"/>
    <mergeCell ref="L49:L50"/>
    <mergeCell ref="O49:O50"/>
    <mergeCell ref="L30:L31"/>
    <mergeCell ref="O30:O31"/>
    <mergeCell ref="L37:L38"/>
    <mergeCell ref="O37:O38"/>
    <mergeCell ref="L40:L41"/>
    <mergeCell ref="O40:O41"/>
    <mergeCell ref="L21:L22"/>
    <mergeCell ref="O21:O22"/>
    <mergeCell ref="L24:L25"/>
    <mergeCell ref="O24:O25"/>
    <mergeCell ref="L27:L28"/>
    <mergeCell ref="O27:O28"/>
    <mergeCell ref="O9:O10"/>
    <mergeCell ref="L15:L16"/>
    <mergeCell ref="O15:O16"/>
    <mergeCell ref="L18:L19"/>
    <mergeCell ref="O18:O19"/>
    <mergeCell ref="G1:J1"/>
    <mergeCell ref="B1:E1"/>
    <mergeCell ref="N1:O1"/>
    <mergeCell ref="O3:O4"/>
    <mergeCell ref="O6:O7"/>
    <mergeCell ref="G59:G60"/>
    <mergeCell ref="J59:J60"/>
    <mergeCell ref="G64:G65"/>
    <mergeCell ref="J64:J65"/>
    <mergeCell ref="G69:G70"/>
    <mergeCell ref="J69:J70"/>
    <mergeCell ref="G47:G48"/>
    <mergeCell ref="J47:J48"/>
    <mergeCell ref="G50:G51"/>
    <mergeCell ref="J50:J51"/>
    <mergeCell ref="G53:G54"/>
    <mergeCell ref="J53:J54"/>
    <mergeCell ref="G38:G39"/>
    <mergeCell ref="J38:J39"/>
    <mergeCell ref="G41:G42"/>
    <mergeCell ref="J41:J42"/>
    <mergeCell ref="G44:G45"/>
    <mergeCell ref="J44:J45"/>
    <mergeCell ref="G25:G26"/>
    <mergeCell ref="J25:J26"/>
    <mergeCell ref="G28:G29"/>
    <mergeCell ref="J28:J29"/>
    <mergeCell ref="G31:G32"/>
    <mergeCell ref="J31:J32"/>
    <mergeCell ref="G16:G17"/>
    <mergeCell ref="J16:J17"/>
    <mergeCell ref="G19:G20"/>
    <mergeCell ref="J19:J20"/>
    <mergeCell ref="G22:G23"/>
    <mergeCell ref="J22:J23"/>
    <mergeCell ref="E59:E60"/>
    <mergeCell ref="E64:E65"/>
    <mergeCell ref="E69:E70"/>
    <mergeCell ref="G3:G4"/>
    <mergeCell ref="J3:J4"/>
    <mergeCell ref="G6:G7"/>
    <mergeCell ref="J6:J7"/>
    <mergeCell ref="G9:G10"/>
    <mergeCell ref="H9:H10"/>
    <mergeCell ref="J9:J10"/>
    <mergeCell ref="E38:E39"/>
    <mergeCell ref="E41:E42"/>
    <mergeCell ref="E44:E45"/>
    <mergeCell ref="E47:E48"/>
    <mergeCell ref="E50:E51"/>
    <mergeCell ref="E53:E54"/>
    <mergeCell ref="B69:B70"/>
    <mergeCell ref="E3:E4"/>
    <mergeCell ref="E6:E7"/>
    <mergeCell ref="E9:E10"/>
    <mergeCell ref="E16:E17"/>
    <mergeCell ref="E19:E20"/>
    <mergeCell ref="E22:E23"/>
    <mergeCell ref="E25:E26"/>
    <mergeCell ref="E28:E29"/>
    <mergeCell ref="E31:E32"/>
    <mergeCell ref="B44:B45"/>
    <mergeCell ref="B47:B48"/>
    <mergeCell ref="B50:B51"/>
    <mergeCell ref="B53:B54"/>
    <mergeCell ref="B59:B60"/>
    <mergeCell ref="B64:B65"/>
    <mergeCell ref="B41:B42"/>
    <mergeCell ref="B3:B4"/>
    <mergeCell ref="B6:B7"/>
    <mergeCell ref="B9:B10"/>
    <mergeCell ref="C9:C10"/>
    <mergeCell ref="B16:B17"/>
    <mergeCell ref="B19:B20"/>
    <mergeCell ref="B22:B23"/>
    <mergeCell ref="B25:B26"/>
    <mergeCell ref="B28:B29"/>
    <mergeCell ref="B31:B32"/>
    <mergeCell ref="B38:B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8EF9-B894-43C5-8B7A-B039B72AD0F3}">
  <dimension ref="B2:Q70"/>
  <sheetViews>
    <sheetView tabSelected="1" topLeftCell="A6" workbookViewId="0">
      <selection activeCell="E12" sqref="E12:I23"/>
    </sheetView>
  </sheetViews>
  <sheetFormatPr baseColWidth="10" defaultRowHeight="15" x14ac:dyDescent="0.25"/>
  <cols>
    <col min="2" max="2" width="36.5703125" customWidth="1"/>
    <col min="3" max="3" width="26.5703125" customWidth="1"/>
    <col min="4" max="4" width="19.5703125" customWidth="1"/>
  </cols>
  <sheetData>
    <row r="2" spans="2:15" x14ac:dyDescent="0.25">
      <c r="B2" s="111" t="s">
        <v>147</v>
      </c>
      <c r="C2" s="111"/>
      <c r="E2" s="111" t="s">
        <v>159</v>
      </c>
      <c r="F2" s="111"/>
      <c r="G2" s="111"/>
      <c r="H2" s="111"/>
      <c r="I2" s="111"/>
      <c r="K2" s="111" t="s">
        <v>165</v>
      </c>
      <c r="L2" s="111"/>
      <c r="M2" s="111"/>
      <c r="N2" s="111"/>
      <c r="O2" s="111"/>
    </row>
    <row r="3" spans="2:15" ht="15" customHeight="1" x14ac:dyDescent="0.25">
      <c r="B3" s="108" t="s">
        <v>148</v>
      </c>
      <c r="C3" s="108"/>
      <c r="E3" s="109" t="s">
        <v>160</v>
      </c>
      <c r="F3" s="109"/>
      <c r="G3" s="109"/>
      <c r="H3" s="109"/>
      <c r="I3" s="109"/>
      <c r="K3" s="109" t="s">
        <v>166</v>
      </c>
      <c r="L3" s="109"/>
      <c r="M3" s="109"/>
      <c r="N3" s="109"/>
      <c r="O3" s="109"/>
    </row>
    <row r="4" spans="2:15" ht="15" customHeight="1" x14ac:dyDescent="0.25">
      <c r="B4" s="108"/>
      <c r="C4" s="108"/>
      <c r="E4" s="109"/>
      <c r="F4" s="109"/>
      <c r="G4" s="109"/>
      <c r="H4" s="109"/>
      <c r="I4" s="109"/>
      <c r="K4" s="109"/>
      <c r="L4" s="109"/>
      <c r="M4" s="109"/>
      <c r="N4" s="109"/>
      <c r="O4" s="109"/>
    </row>
    <row r="5" spans="2:15" x14ac:dyDescent="0.25">
      <c r="B5" s="109" t="s">
        <v>149</v>
      </c>
      <c r="C5" s="109"/>
      <c r="E5" s="109"/>
      <c r="F5" s="109"/>
      <c r="G5" s="109"/>
      <c r="H5" s="109"/>
      <c r="I5" s="109"/>
      <c r="K5" s="109"/>
      <c r="L5" s="109"/>
      <c r="M5" s="109"/>
      <c r="N5" s="109"/>
      <c r="O5" s="109"/>
    </row>
    <row r="6" spans="2:15" x14ac:dyDescent="0.25">
      <c r="B6" s="109"/>
      <c r="C6" s="109"/>
      <c r="E6" s="109"/>
      <c r="F6" s="109"/>
      <c r="G6" s="109"/>
      <c r="H6" s="109"/>
      <c r="I6" s="109"/>
      <c r="K6" s="109"/>
      <c r="L6" s="109"/>
      <c r="M6" s="109"/>
      <c r="N6" s="109"/>
      <c r="O6" s="109"/>
    </row>
    <row r="7" spans="2:15" x14ac:dyDescent="0.25">
      <c r="B7" s="109"/>
      <c r="C7" s="109"/>
      <c r="E7" s="109"/>
      <c r="F7" s="109"/>
      <c r="G7" s="109"/>
      <c r="H7" s="109"/>
      <c r="I7" s="109"/>
      <c r="K7" s="109"/>
      <c r="L7" s="109"/>
      <c r="M7" s="109"/>
      <c r="N7" s="109"/>
      <c r="O7" s="109"/>
    </row>
    <row r="8" spans="2:15" x14ac:dyDescent="0.25">
      <c r="B8" s="110" t="s">
        <v>150</v>
      </c>
      <c r="C8" s="110"/>
      <c r="E8" s="109"/>
      <c r="F8" s="109"/>
      <c r="G8" s="109"/>
      <c r="H8" s="109"/>
      <c r="I8" s="109"/>
      <c r="K8" s="109"/>
      <c r="L8" s="109"/>
      <c r="M8" s="109"/>
      <c r="N8" s="109"/>
      <c r="O8" s="109"/>
    </row>
    <row r="9" spans="2:15" x14ac:dyDescent="0.25">
      <c r="B9" s="110"/>
      <c r="C9" s="110"/>
      <c r="E9" s="109"/>
      <c r="F9" s="109"/>
      <c r="G9" s="109"/>
      <c r="H9" s="109"/>
      <c r="I9" s="109"/>
      <c r="K9" s="109"/>
      <c r="L9" s="109"/>
      <c r="M9" s="109"/>
      <c r="N9" s="109"/>
      <c r="O9" s="109"/>
    </row>
    <row r="10" spans="2:15" x14ac:dyDescent="0.25">
      <c r="B10" s="110"/>
      <c r="C10" s="110"/>
      <c r="E10" s="109"/>
      <c r="F10" s="109"/>
      <c r="G10" s="109"/>
      <c r="H10" s="109"/>
      <c r="I10" s="109"/>
      <c r="K10" s="109"/>
      <c r="L10" s="109"/>
      <c r="M10" s="109"/>
      <c r="N10" s="109"/>
      <c r="O10" s="109"/>
    </row>
    <row r="11" spans="2:15" x14ac:dyDescent="0.25">
      <c r="B11" s="110"/>
      <c r="C11" s="110"/>
      <c r="E11" s="109"/>
      <c r="F11" s="109"/>
      <c r="G11" s="109"/>
      <c r="H11" s="109"/>
      <c r="I11" s="109"/>
      <c r="K11" s="109" t="s">
        <v>167</v>
      </c>
      <c r="L11" s="109"/>
      <c r="M11" s="109"/>
      <c r="N11" s="109"/>
      <c r="O11" s="109"/>
    </row>
    <row r="12" spans="2:15" ht="15" customHeight="1" x14ac:dyDescent="0.25">
      <c r="B12" s="110"/>
      <c r="C12" s="110"/>
      <c r="E12" s="109" t="s">
        <v>161</v>
      </c>
      <c r="F12" s="109"/>
      <c r="G12" s="109"/>
      <c r="H12" s="109"/>
      <c r="I12" s="109"/>
      <c r="K12" s="109"/>
      <c r="L12" s="109"/>
      <c r="M12" s="109"/>
      <c r="N12" s="109"/>
      <c r="O12" s="109"/>
    </row>
    <row r="13" spans="2:15" ht="15" customHeight="1" x14ac:dyDescent="0.25">
      <c r="E13" s="109"/>
      <c r="F13" s="109"/>
      <c r="G13" s="109"/>
      <c r="H13" s="109"/>
      <c r="I13" s="109"/>
      <c r="K13" s="109"/>
      <c r="L13" s="109"/>
      <c r="M13" s="109"/>
      <c r="N13" s="109"/>
      <c r="O13" s="109"/>
    </row>
    <row r="14" spans="2:15" x14ac:dyDescent="0.25">
      <c r="B14" s="111" t="s">
        <v>151</v>
      </c>
      <c r="C14" s="111"/>
      <c r="E14" s="109"/>
      <c r="F14" s="109"/>
      <c r="G14" s="109"/>
      <c r="H14" s="109"/>
      <c r="I14" s="109"/>
      <c r="K14" s="109"/>
      <c r="L14" s="109"/>
      <c r="M14" s="109"/>
      <c r="N14" s="109"/>
      <c r="O14" s="109"/>
    </row>
    <row r="15" spans="2:15" x14ac:dyDescent="0.25">
      <c r="B15" s="109" t="s">
        <v>154</v>
      </c>
      <c r="C15" s="109"/>
      <c r="E15" s="109"/>
      <c r="F15" s="109"/>
      <c r="G15" s="109"/>
      <c r="H15" s="109"/>
      <c r="I15" s="109"/>
      <c r="K15" s="109"/>
      <c r="L15" s="109"/>
      <c r="M15" s="109"/>
      <c r="N15" s="109"/>
      <c r="O15" s="109"/>
    </row>
    <row r="16" spans="2:15" x14ac:dyDescent="0.25">
      <c r="B16" s="109"/>
      <c r="C16" s="109"/>
      <c r="E16" s="109"/>
      <c r="F16" s="109"/>
      <c r="G16" s="109"/>
      <c r="H16" s="109"/>
      <c r="I16" s="109"/>
      <c r="K16" s="109"/>
      <c r="L16" s="109"/>
      <c r="M16" s="109"/>
      <c r="N16" s="109"/>
      <c r="O16" s="109"/>
    </row>
    <row r="17" spans="2:17" x14ac:dyDescent="0.25">
      <c r="B17" s="109"/>
      <c r="C17" s="109"/>
      <c r="E17" s="109"/>
      <c r="F17" s="109"/>
      <c r="G17" s="109"/>
      <c r="H17" s="109"/>
      <c r="I17" s="109"/>
      <c r="K17" s="109"/>
      <c r="L17" s="109"/>
      <c r="M17" s="109"/>
      <c r="N17" s="109"/>
      <c r="O17" s="109"/>
    </row>
    <row r="18" spans="2:17" x14ac:dyDescent="0.25">
      <c r="B18" s="109"/>
      <c r="C18" s="109"/>
      <c r="E18" s="109"/>
      <c r="F18" s="109"/>
      <c r="G18" s="109"/>
      <c r="H18" s="109"/>
      <c r="I18" s="109"/>
      <c r="K18" s="109"/>
      <c r="L18" s="109"/>
      <c r="M18" s="109"/>
      <c r="N18" s="109"/>
      <c r="O18" s="109"/>
    </row>
    <row r="19" spans="2:17" x14ac:dyDescent="0.25">
      <c r="B19" s="109" t="s">
        <v>155</v>
      </c>
      <c r="C19" s="109"/>
      <c r="E19" s="109"/>
      <c r="F19" s="109"/>
      <c r="G19" s="109"/>
      <c r="H19" s="109"/>
      <c r="I19" s="109"/>
      <c r="K19" s="109"/>
      <c r="L19" s="109"/>
      <c r="M19" s="109"/>
      <c r="N19" s="109"/>
      <c r="O19" s="109"/>
    </row>
    <row r="20" spans="2:17" x14ac:dyDescent="0.25">
      <c r="B20" s="109"/>
      <c r="C20" s="109"/>
      <c r="E20" s="109"/>
      <c r="F20" s="109"/>
      <c r="G20" s="109"/>
      <c r="H20" s="109"/>
      <c r="I20" s="109"/>
      <c r="K20" s="110" t="s">
        <v>168</v>
      </c>
      <c r="L20" s="110"/>
      <c r="M20" s="110"/>
      <c r="N20" s="110"/>
      <c r="O20" s="110"/>
    </row>
    <row r="21" spans="2:17" x14ac:dyDescent="0.25">
      <c r="B21" s="109"/>
      <c r="C21" s="109"/>
      <c r="E21" s="109"/>
      <c r="F21" s="109"/>
      <c r="G21" s="109"/>
      <c r="H21" s="109"/>
      <c r="I21" s="109"/>
      <c r="K21" s="110"/>
      <c r="L21" s="110"/>
      <c r="M21" s="110"/>
      <c r="N21" s="110"/>
      <c r="O21" s="110"/>
    </row>
    <row r="22" spans="2:17" x14ac:dyDescent="0.25">
      <c r="B22" s="109" t="s">
        <v>156</v>
      </c>
      <c r="C22" s="109"/>
      <c r="E22" s="109"/>
      <c r="F22" s="109"/>
      <c r="G22" s="109"/>
      <c r="H22" s="109"/>
      <c r="I22" s="109"/>
      <c r="K22" s="110"/>
      <c r="L22" s="110"/>
      <c r="M22" s="110"/>
      <c r="N22" s="110"/>
      <c r="O22" s="110"/>
    </row>
    <row r="23" spans="2:17" x14ac:dyDescent="0.25">
      <c r="B23" s="109"/>
      <c r="C23" s="109"/>
      <c r="E23" s="109"/>
      <c r="F23" s="109"/>
      <c r="G23" s="109"/>
      <c r="H23" s="109"/>
      <c r="I23" s="109"/>
      <c r="K23" s="110"/>
      <c r="L23" s="110"/>
      <c r="M23" s="110"/>
      <c r="N23" s="110"/>
      <c r="O23" s="110"/>
    </row>
    <row r="24" spans="2:17" x14ac:dyDescent="0.25">
      <c r="B24" s="109"/>
      <c r="C24" s="109"/>
      <c r="E24" s="109" t="s">
        <v>162</v>
      </c>
      <c r="F24" s="109"/>
      <c r="G24" s="109"/>
      <c r="H24" s="109"/>
      <c r="I24" s="109"/>
      <c r="K24" s="110"/>
      <c r="L24" s="110"/>
      <c r="M24" s="110"/>
      <c r="N24" s="110"/>
      <c r="O24" s="110"/>
    </row>
    <row r="25" spans="2:17" x14ac:dyDescent="0.25">
      <c r="B25" s="109" t="s">
        <v>157</v>
      </c>
      <c r="C25" s="109"/>
      <c r="E25" s="109"/>
      <c r="F25" s="109"/>
      <c r="G25" s="109"/>
      <c r="H25" s="109"/>
      <c r="I25" s="109"/>
      <c r="K25" s="110"/>
      <c r="L25" s="110"/>
      <c r="M25" s="110"/>
      <c r="N25" s="110"/>
      <c r="O25" s="110"/>
    </row>
    <row r="26" spans="2:17" x14ac:dyDescent="0.25">
      <c r="B26" s="109"/>
      <c r="C26" s="109"/>
      <c r="E26" s="109"/>
      <c r="F26" s="109"/>
      <c r="G26" s="109"/>
      <c r="H26" s="109"/>
      <c r="I26" s="109"/>
      <c r="K26" s="110"/>
      <c r="L26" s="110"/>
      <c r="M26" s="110"/>
      <c r="N26" s="110"/>
      <c r="O26" s="110"/>
    </row>
    <row r="27" spans="2:17" x14ac:dyDescent="0.25">
      <c r="B27" s="109"/>
      <c r="C27" s="109"/>
      <c r="E27" s="109"/>
      <c r="F27" s="109"/>
      <c r="G27" s="109"/>
      <c r="H27" s="109"/>
      <c r="I27" s="109"/>
      <c r="K27" s="109" t="s">
        <v>169</v>
      </c>
      <c r="L27" s="109"/>
      <c r="M27" s="109"/>
      <c r="N27" s="109"/>
      <c r="O27" s="109"/>
    </row>
    <row r="28" spans="2:17" x14ac:dyDescent="0.25">
      <c r="B28" s="109" t="s">
        <v>158</v>
      </c>
      <c r="C28" s="109"/>
      <c r="E28" s="109"/>
      <c r="F28" s="109"/>
      <c r="G28" s="109"/>
      <c r="H28" s="109"/>
      <c r="I28" s="109"/>
      <c r="K28" s="109"/>
      <c r="L28" s="109"/>
      <c r="M28" s="109"/>
      <c r="N28" s="109"/>
      <c r="O28" s="109"/>
    </row>
    <row r="29" spans="2:17" x14ac:dyDescent="0.25">
      <c r="B29" s="109"/>
      <c r="C29" s="109"/>
      <c r="E29" s="109"/>
      <c r="F29" s="109"/>
      <c r="G29" s="109"/>
      <c r="H29" s="109"/>
      <c r="I29" s="109"/>
      <c r="K29" s="109"/>
      <c r="L29" s="109"/>
      <c r="M29" s="109"/>
      <c r="N29" s="109"/>
      <c r="O29" s="109"/>
    </row>
    <row r="30" spans="2:17" x14ac:dyDescent="0.25">
      <c r="B30" s="109"/>
      <c r="C30" s="109"/>
      <c r="E30" s="109"/>
      <c r="F30" s="109"/>
      <c r="G30" s="109"/>
      <c r="H30" s="109"/>
      <c r="I30" s="109"/>
      <c r="K30" s="109"/>
      <c r="L30" s="109"/>
      <c r="M30" s="109"/>
      <c r="N30" s="109"/>
      <c r="O30" s="109"/>
      <c r="P30" s="104"/>
      <c r="Q30" s="104"/>
    </row>
    <row r="31" spans="2:17" x14ac:dyDescent="0.25">
      <c r="E31" s="109"/>
      <c r="F31" s="109"/>
      <c r="G31" s="109"/>
      <c r="H31" s="109"/>
      <c r="I31" s="109"/>
      <c r="K31" s="109"/>
      <c r="L31" s="109"/>
      <c r="M31" s="109"/>
      <c r="N31" s="109"/>
      <c r="O31" s="109"/>
      <c r="P31" s="104"/>
      <c r="Q31" s="104"/>
    </row>
    <row r="32" spans="2:17" x14ac:dyDescent="0.25">
      <c r="E32" s="109"/>
      <c r="F32" s="109"/>
      <c r="G32" s="109"/>
      <c r="H32" s="109"/>
      <c r="I32" s="109"/>
      <c r="K32" s="109"/>
      <c r="L32" s="109"/>
      <c r="M32" s="109"/>
      <c r="N32" s="109"/>
      <c r="O32" s="109"/>
      <c r="P32" s="104"/>
      <c r="Q32" s="104"/>
    </row>
    <row r="33" spans="5:17" x14ac:dyDescent="0.25">
      <c r="E33" s="109" t="s">
        <v>163</v>
      </c>
      <c r="F33" s="109"/>
      <c r="G33" s="109"/>
      <c r="H33" s="109"/>
      <c r="I33" s="109"/>
      <c r="K33" s="109"/>
      <c r="L33" s="109"/>
      <c r="M33" s="109"/>
      <c r="N33" s="109"/>
      <c r="O33" s="109"/>
      <c r="P33" s="104"/>
      <c r="Q33" s="104"/>
    </row>
    <row r="34" spans="5:17" x14ac:dyDescent="0.25">
      <c r="E34" s="109"/>
      <c r="F34" s="109"/>
      <c r="G34" s="109"/>
      <c r="H34" s="109"/>
      <c r="I34" s="109"/>
      <c r="K34" s="109"/>
      <c r="L34" s="109"/>
      <c r="M34" s="109"/>
      <c r="N34" s="109"/>
      <c r="O34" s="109"/>
      <c r="P34" s="104"/>
      <c r="Q34" s="104"/>
    </row>
    <row r="35" spans="5:17" ht="15" customHeight="1" x14ac:dyDescent="0.25">
      <c r="E35" s="109"/>
      <c r="F35" s="109"/>
      <c r="G35" s="109"/>
      <c r="H35" s="109"/>
      <c r="I35" s="109"/>
      <c r="K35" s="109" t="s">
        <v>170</v>
      </c>
      <c r="L35" s="109"/>
      <c r="M35" s="109"/>
      <c r="N35" s="109"/>
      <c r="O35" s="109"/>
      <c r="P35" s="104"/>
      <c r="Q35" s="104"/>
    </row>
    <row r="36" spans="5:17" x14ac:dyDescent="0.25">
      <c r="E36" s="109"/>
      <c r="F36" s="109"/>
      <c r="G36" s="109"/>
      <c r="H36" s="109"/>
      <c r="I36" s="109"/>
      <c r="K36" s="109"/>
      <c r="L36" s="109"/>
      <c r="M36" s="109"/>
      <c r="N36" s="109"/>
      <c r="O36" s="109"/>
      <c r="P36" s="104"/>
      <c r="Q36" s="104"/>
    </row>
    <row r="37" spans="5:17" x14ac:dyDescent="0.25">
      <c r="E37" s="109"/>
      <c r="F37" s="109"/>
      <c r="G37" s="109"/>
      <c r="H37" s="109"/>
      <c r="I37" s="109"/>
      <c r="K37" s="109"/>
      <c r="L37" s="109"/>
      <c r="M37" s="109"/>
      <c r="N37" s="109"/>
      <c r="O37" s="109"/>
      <c r="P37" s="104"/>
      <c r="Q37" s="104"/>
    </row>
    <row r="38" spans="5:17" x14ac:dyDescent="0.25">
      <c r="E38" s="109"/>
      <c r="F38" s="109"/>
      <c r="G38" s="109"/>
      <c r="H38" s="109"/>
      <c r="I38" s="109"/>
      <c r="K38" s="109"/>
      <c r="L38" s="109"/>
      <c r="M38" s="109"/>
      <c r="N38" s="109"/>
      <c r="O38" s="109"/>
      <c r="P38" s="104"/>
      <c r="Q38" s="104"/>
    </row>
    <row r="39" spans="5:17" x14ac:dyDescent="0.25">
      <c r="E39" s="109"/>
      <c r="F39" s="109"/>
      <c r="G39" s="109"/>
      <c r="H39" s="109"/>
      <c r="I39" s="109"/>
      <c r="K39" s="109"/>
      <c r="L39" s="109"/>
      <c r="M39" s="109"/>
      <c r="N39" s="109"/>
      <c r="O39" s="109"/>
      <c r="P39" s="104"/>
      <c r="Q39" s="104"/>
    </row>
    <row r="40" spans="5:17" x14ac:dyDescent="0.25">
      <c r="E40" s="109"/>
      <c r="F40" s="109"/>
      <c r="G40" s="109"/>
      <c r="H40" s="109"/>
      <c r="I40" s="109"/>
      <c r="K40" s="109"/>
      <c r="L40" s="109"/>
      <c r="M40" s="109"/>
      <c r="N40" s="109"/>
      <c r="O40" s="109"/>
      <c r="P40" s="104"/>
      <c r="Q40" s="104"/>
    </row>
    <row r="41" spans="5:17" x14ac:dyDescent="0.25">
      <c r="E41" s="109"/>
      <c r="F41" s="109"/>
      <c r="G41" s="109"/>
      <c r="H41" s="109"/>
      <c r="I41" s="109"/>
      <c r="K41" s="109"/>
      <c r="L41" s="109"/>
      <c r="M41" s="109"/>
      <c r="N41" s="109"/>
      <c r="O41" s="109"/>
      <c r="P41" s="104"/>
      <c r="Q41" s="104"/>
    </row>
    <row r="42" spans="5:17" x14ac:dyDescent="0.25">
      <c r="E42" s="109"/>
      <c r="F42" s="109"/>
      <c r="G42" s="109"/>
      <c r="H42" s="109"/>
      <c r="I42" s="109"/>
      <c r="K42" s="109"/>
      <c r="L42" s="109"/>
      <c r="M42" s="109"/>
      <c r="N42" s="109"/>
      <c r="O42" s="109"/>
      <c r="P42" s="104"/>
      <c r="Q42" s="104"/>
    </row>
    <row r="43" spans="5:17" x14ac:dyDescent="0.25">
      <c r="E43" s="109" t="s">
        <v>164</v>
      </c>
      <c r="F43" s="109"/>
      <c r="G43" s="109"/>
      <c r="H43" s="109"/>
      <c r="I43" s="109"/>
      <c r="K43" s="109"/>
      <c r="L43" s="109"/>
      <c r="M43" s="109"/>
      <c r="N43" s="109"/>
      <c r="O43" s="109"/>
      <c r="P43" s="104"/>
      <c r="Q43" s="104"/>
    </row>
    <row r="44" spans="5:17" x14ac:dyDescent="0.25">
      <c r="E44" s="109"/>
      <c r="F44" s="109"/>
      <c r="G44" s="109"/>
      <c r="H44" s="109"/>
      <c r="I44" s="109"/>
      <c r="K44" s="109"/>
      <c r="L44" s="109"/>
      <c r="M44" s="109"/>
      <c r="N44" s="109"/>
      <c r="O44" s="109"/>
      <c r="P44" s="104"/>
      <c r="Q44" s="104"/>
    </row>
    <row r="45" spans="5:17" x14ac:dyDescent="0.25">
      <c r="E45" s="109"/>
      <c r="F45" s="109"/>
      <c r="G45" s="109"/>
      <c r="H45" s="109"/>
      <c r="I45" s="109"/>
      <c r="K45" s="109"/>
      <c r="L45" s="109"/>
      <c r="M45" s="109"/>
      <c r="N45" s="109"/>
      <c r="O45" s="109"/>
    </row>
    <row r="46" spans="5:17" x14ac:dyDescent="0.25">
      <c r="E46" s="109"/>
      <c r="F46" s="109"/>
      <c r="G46" s="109"/>
      <c r="H46" s="109"/>
      <c r="I46" s="109"/>
      <c r="K46" s="109" t="s">
        <v>171</v>
      </c>
      <c r="L46" s="109"/>
      <c r="M46" s="109"/>
      <c r="N46" s="109"/>
      <c r="O46" s="109"/>
    </row>
    <row r="47" spans="5:17" x14ac:dyDescent="0.25">
      <c r="E47" s="109"/>
      <c r="F47" s="109"/>
      <c r="G47" s="109"/>
      <c r="H47" s="109"/>
      <c r="I47" s="109"/>
      <c r="K47" s="109"/>
      <c r="L47" s="109"/>
      <c r="M47" s="109"/>
      <c r="N47" s="109"/>
      <c r="O47" s="109"/>
    </row>
    <row r="48" spans="5:17" x14ac:dyDescent="0.25">
      <c r="E48" s="109"/>
      <c r="F48" s="109"/>
      <c r="G48" s="109"/>
      <c r="H48" s="109"/>
      <c r="I48" s="109"/>
      <c r="K48" s="109"/>
      <c r="L48" s="109"/>
      <c r="M48" s="109"/>
      <c r="N48" s="109"/>
      <c r="O48" s="109"/>
    </row>
    <row r="49" spans="4:15" x14ac:dyDescent="0.25">
      <c r="K49" s="109"/>
      <c r="L49" s="109"/>
      <c r="M49" s="109"/>
      <c r="N49" s="109"/>
      <c r="O49" s="109"/>
    </row>
    <row r="50" spans="4:15" x14ac:dyDescent="0.25">
      <c r="K50" s="109"/>
      <c r="L50" s="109"/>
      <c r="M50" s="109"/>
      <c r="N50" s="109"/>
      <c r="O50" s="109"/>
    </row>
    <row r="51" spans="4:15" x14ac:dyDescent="0.25">
      <c r="K51" s="109"/>
      <c r="L51" s="109"/>
      <c r="M51" s="109"/>
      <c r="N51" s="109"/>
      <c r="O51" s="109"/>
    </row>
    <row r="52" spans="4:15" x14ac:dyDescent="0.25">
      <c r="K52" s="104"/>
      <c r="L52" s="104"/>
      <c r="M52" s="104"/>
      <c r="N52" s="104"/>
      <c r="O52" s="104"/>
    </row>
    <row r="53" spans="4:15" x14ac:dyDescent="0.25">
      <c r="K53" s="104"/>
      <c r="L53" s="104"/>
      <c r="M53" s="104"/>
      <c r="N53" s="104"/>
      <c r="O53" s="104"/>
    </row>
    <row r="57" spans="4:15" x14ac:dyDescent="0.25">
      <c r="D57" s="104"/>
    </row>
    <row r="70" ht="15" customHeight="1" x14ac:dyDescent="0.25"/>
  </sheetData>
  <mergeCells count="23">
    <mergeCell ref="K46:O51"/>
    <mergeCell ref="K3:O10"/>
    <mergeCell ref="K11:O19"/>
    <mergeCell ref="K2:O2"/>
    <mergeCell ref="K20:O26"/>
    <mergeCell ref="K27:O34"/>
    <mergeCell ref="K35:O45"/>
    <mergeCell ref="B25:C27"/>
    <mergeCell ref="B28:C30"/>
    <mergeCell ref="E2:I2"/>
    <mergeCell ref="E3:I11"/>
    <mergeCell ref="E12:I23"/>
    <mergeCell ref="B3:C4"/>
    <mergeCell ref="B2:C2"/>
    <mergeCell ref="B5:C7"/>
    <mergeCell ref="B8:C12"/>
    <mergeCell ref="B14:C14"/>
    <mergeCell ref="B15:C18"/>
    <mergeCell ref="B19:C21"/>
    <mergeCell ref="B22:C24"/>
    <mergeCell ref="E43:I48"/>
    <mergeCell ref="E33:I42"/>
    <mergeCell ref="E24:I3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492B6AEC733844AFA449E233E83901" ma:contentTypeVersion="6" ma:contentTypeDescription="Create a new document." ma:contentTypeScope="" ma:versionID="997b4303ead6d583218d0772932dc824">
  <xsd:schema xmlns:xsd="http://www.w3.org/2001/XMLSchema" xmlns:xs="http://www.w3.org/2001/XMLSchema" xmlns:p="http://schemas.microsoft.com/office/2006/metadata/properties" xmlns:ns3="41cb4cb2-af25-4e33-8182-842a1920964a" targetNamespace="http://schemas.microsoft.com/office/2006/metadata/properties" ma:root="true" ma:fieldsID="69eb0137587fcbc229d62ad5316f2947" ns3:_="">
    <xsd:import namespace="41cb4cb2-af25-4e33-8182-842a1920964a"/>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b4cb2-af25-4e33-8182-842a192096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1cb4cb2-af25-4e33-8182-842a1920964a" xsi:nil="true"/>
  </documentManagement>
</p:properties>
</file>

<file path=customXml/itemProps1.xml><?xml version="1.0" encoding="utf-8"?>
<ds:datastoreItem xmlns:ds="http://schemas.openxmlformats.org/officeDocument/2006/customXml" ds:itemID="{91120170-A159-4BCF-B78D-D6553DC629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b4cb2-af25-4e33-8182-842a192096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49FCF-2E67-4A07-9FD0-77F908141322}">
  <ds:schemaRefs>
    <ds:schemaRef ds:uri="http://schemas.microsoft.com/sharepoint/v3/contenttype/forms"/>
  </ds:schemaRefs>
</ds:datastoreItem>
</file>

<file path=customXml/itemProps3.xml><?xml version="1.0" encoding="utf-8"?>
<ds:datastoreItem xmlns:ds="http://schemas.openxmlformats.org/officeDocument/2006/customXml" ds:itemID="{CCFEC2B3-F3E0-4735-8063-DD2ED8C46728}">
  <ds:schemaRef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schemas.microsoft.com/office/infopath/2007/PartnerControls"/>
    <ds:schemaRef ds:uri="41cb4cb2-af25-4e33-8182-842a1920964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Analisis Vertical </vt:lpstr>
      <vt:lpstr>Analisis Horizontal  </vt:lpstr>
      <vt:lpstr>Hoja3</vt:lpstr>
      <vt:lpstr>Analisis y mejoras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GAVIRIA ALVAREZ</dc:creator>
  <cp:lastModifiedBy>SARA  GAVIRIA ALVAREZ</cp:lastModifiedBy>
  <dcterms:created xsi:type="dcterms:W3CDTF">2024-05-23T00:12:09Z</dcterms:created>
  <dcterms:modified xsi:type="dcterms:W3CDTF">2024-05-29T21:31:14Z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0x010100C0492B6AEC733844AFA449E233E83901</vt:lpwstr>
  </property>
</Properties>
</file>